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LENOVO\Desktop\web\ดาวน์โหลด\แบบฟอร์ม\ปี 2561\"/>
    </mc:Choice>
  </mc:AlternateContent>
  <xr:revisionPtr revIDLastSave="0" documentId="8_{9A50FC10-2B4E-429A-A58F-E1863F76617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หลักสูตร" sheetId="1" r:id="rId1"/>
    <sheet name="ผลวิเคราะห์" sheetId="2" r:id="rId2"/>
  </sheets>
  <definedNames>
    <definedName name="_xlnm.Print_Area" localSheetId="0">หลักสูตร!$A$1:$K$48</definedName>
    <definedName name="_xlnm.Print_Titles" localSheetId="0">หลักสูตร!$1:$6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7" i="1"/>
  <c r="L7" i="1" l="1"/>
  <c r="B9" i="2"/>
  <c r="L3" i="1" l="1"/>
  <c r="L1" i="1"/>
  <c r="L2" i="1"/>
  <c r="L9" i="1"/>
  <c r="CH10" i="1" l="1"/>
  <c r="CH8" i="1"/>
  <c r="CI10" i="1"/>
  <c r="CG10" i="1"/>
  <c r="CF10" i="1"/>
  <c r="CE10" i="1"/>
  <c r="CD10" i="1"/>
  <c r="CJ9" i="1"/>
  <c r="CI9" i="1"/>
  <c r="CH9" i="1"/>
  <c r="CG9" i="1"/>
  <c r="CF9" i="1"/>
  <c r="CE9" i="1"/>
  <c r="CD9" i="1"/>
  <c r="CC9" i="1"/>
  <c r="CC10" i="1"/>
  <c r="CB10" i="1"/>
  <c r="CA10" i="1"/>
  <c r="CB9" i="1"/>
  <c r="CA9" i="1"/>
  <c r="CJ10" i="1"/>
  <c r="CL10" i="1" l="1"/>
  <c r="CL9" i="1"/>
  <c r="L10" i="1" s="1"/>
  <c r="I13" i="1"/>
  <c r="L11" i="1" l="1"/>
  <c r="K11" i="1" s="1"/>
  <c r="L13" i="1" l="1"/>
  <c r="K13" i="1" s="1"/>
  <c r="I11" i="1"/>
  <c r="G11" i="1" l="1"/>
  <c r="CJ44" i="1" l="1"/>
  <c r="CJ43" i="1"/>
  <c r="CJ42" i="1"/>
  <c r="CH42" i="1"/>
  <c r="CA44" i="1" l="1"/>
  <c r="CB44" i="1"/>
  <c r="CC44" i="1"/>
  <c r="CE43" i="1"/>
  <c r="CE42" i="1"/>
  <c r="CD43" i="1"/>
  <c r="CD42" i="1"/>
  <c r="CD44" i="1"/>
  <c r="CE44" i="1"/>
  <c r="CF44" i="1"/>
  <c r="CF43" i="1"/>
  <c r="CF42" i="1"/>
  <c r="CG44" i="1"/>
  <c r="CG43" i="1"/>
  <c r="CG42" i="1"/>
  <c r="CH44" i="1"/>
  <c r="CH43" i="1"/>
  <c r="CE45" i="1" l="1"/>
  <c r="CC45" i="1"/>
  <c r="E44" i="1" s="1"/>
  <c r="CA45" i="1"/>
  <c r="CI44" i="1"/>
  <c r="CI43" i="1"/>
  <c r="CI42" i="1"/>
  <c r="CK44" i="1"/>
  <c r="CK43" i="1"/>
  <c r="CK42" i="1"/>
  <c r="CT44" i="1" l="1"/>
  <c r="CS44" i="1"/>
  <c r="CR44" i="1"/>
  <c r="CQ44" i="1"/>
  <c r="CP44" i="1"/>
  <c r="CO44" i="1"/>
  <c r="CN44" i="1"/>
  <c r="CM44" i="1"/>
  <c r="CL44" i="1"/>
  <c r="CU44" i="1" l="1"/>
  <c r="CV44" i="1"/>
  <c r="CF8" i="1"/>
  <c r="CW44" i="1" l="1"/>
  <c r="CT43" i="1"/>
  <c r="CS43" i="1"/>
  <c r="CR43" i="1"/>
  <c r="CQ43" i="1"/>
  <c r="CP43" i="1"/>
  <c r="CO43" i="1"/>
  <c r="CN43" i="1"/>
  <c r="CM43" i="1"/>
  <c r="CL43" i="1"/>
  <c r="CT42" i="1"/>
  <c r="CS42" i="1"/>
  <c r="CR42" i="1"/>
  <c r="CQ42" i="1"/>
  <c r="CP42" i="1"/>
  <c r="CO42" i="1"/>
  <c r="CN42" i="1"/>
  <c r="CM42" i="1"/>
  <c r="CL42" i="1"/>
  <c r="CA42" i="1"/>
  <c r="CV43" i="1" l="1"/>
  <c r="CV42" i="1"/>
  <c r="CK7" i="1"/>
  <c r="CK8" i="1"/>
  <c r="CJ8" i="1"/>
  <c r="CI8" i="1"/>
  <c r="CG8" i="1"/>
  <c r="CE8" i="1"/>
  <c r="CD8" i="1"/>
  <c r="CC8" i="1"/>
  <c r="CB8" i="1"/>
  <c r="CA8" i="1"/>
  <c r="CB7" i="1"/>
  <c r="CA7" i="1"/>
  <c r="CC42" i="1" l="1"/>
  <c r="CB42" i="1"/>
  <c r="CC43" i="1"/>
  <c r="CB43" i="1"/>
  <c r="CA43" i="1"/>
  <c r="CU43" i="1" l="1"/>
  <c r="CW43" i="1" s="1"/>
  <c r="CU42" i="1"/>
  <c r="E2" i="2"/>
  <c r="CW42" i="1" l="1"/>
  <c r="L42" i="1" s="1"/>
  <c r="I44" i="1" s="1"/>
  <c r="B1" i="2"/>
  <c r="L43" i="1" l="1"/>
  <c r="L44" i="1"/>
  <c r="CJ7" i="1" l="1"/>
  <c r="L12" i="1"/>
  <c r="L45" i="1" l="1"/>
  <c r="K45" i="1"/>
  <c r="L41" i="1"/>
  <c r="K41" i="1"/>
  <c r="L40" i="1"/>
  <c r="K40" i="1"/>
  <c r="L39" i="1"/>
  <c r="K39" i="1"/>
  <c r="C14" i="2" s="1"/>
  <c r="L38" i="1"/>
  <c r="K38" i="1"/>
  <c r="L37" i="1"/>
  <c r="I37" i="1"/>
  <c r="L36" i="1"/>
  <c r="I36" i="1"/>
  <c r="L35" i="1"/>
  <c r="I35" i="1"/>
  <c r="L34" i="1"/>
  <c r="I34" i="1"/>
  <c r="G34" i="1"/>
  <c r="E34" i="1"/>
  <c r="L33" i="1"/>
  <c r="I33" i="1"/>
  <c r="G33" i="1"/>
  <c r="E33" i="1"/>
  <c r="L32" i="1"/>
  <c r="I32" i="1"/>
  <c r="K32" i="1" s="1"/>
  <c r="G32" i="1"/>
  <c r="E32" i="1"/>
  <c r="L31" i="1"/>
  <c r="B31" i="1"/>
  <c r="L30" i="1"/>
  <c r="G30" i="1"/>
  <c r="I30" i="1" s="1"/>
  <c r="E30" i="1"/>
  <c r="G29" i="1"/>
  <c r="L29" i="1" s="1"/>
  <c r="E29" i="1"/>
  <c r="G28" i="1"/>
  <c r="L28" i="1" s="1"/>
  <c r="E28" i="1"/>
  <c r="B27" i="1"/>
  <c r="L26" i="1"/>
  <c r="G26" i="1"/>
  <c r="I26" i="1" s="1"/>
  <c r="E26" i="1"/>
  <c r="G25" i="1"/>
  <c r="L25" i="1" s="1"/>
  <c r="E25" i="1"/>
  <c r="G24" i="1"/>
  <c r="L24" i="1" s="1"/>
  <c r="E24" i="1"/>
  <c r="B23" i="1"/>
  <c r="L22" i="1"/>
  <c r="K22" i="1"/>
  <c r="L21" i="1"/>
  <c r="K21" i="1"/>
  <c r="L20" i="1"/>
  <c r="K20" i="1"/>
  <c r="L19" i="1"/>
  <c r="K19" i="1"/>
  <c r="L18" i="1"/>
  <c r="L17" i="1"/>
  <c r="K17" i="1"/>
  <c r="I17" i="1"/>
  <c r="G17" i="1"/>
  <c r="CB16" i="1"/>
  <c r="L15" i="1"/>
  <c r="I15" i="1"/>
  <c r="G15" i="1"/>
  <c r="CI7" i="1"/>
  <c r="CH7" i="1"/>
  <c r="CG7" i="1"/>
  <c r="CF7" i="1"/>
  <c r="CE7" i="1"/>
  <c r="CD7" i="1"/>
  <c r="CC7" i="1"/>
  <c r="I29" i="1" l="1"/>
  <c r="F12" i="2"/>
  <c r="G12" i="2" s="1"/>
  <c r="I25" i="1"/>
  <c r="I24" i="1"/>
  <c r="I28" i="1"/>
  <c r="K15" i="1"/>
  <c r="C12" i="2"/>
  <c r="F15" i="2"/>
  <c r="G15" i="2" s="1"/>
  <c r="D15" i="2"/>
  <c r="CL8" i="1"/>
  <c r="CL7" i="1"/>
  <c r="L8" i="1" s="1"/>
  <c r="E11" i="2" l="1"/>
  <c r="K24" i="1"/>
  <c r="L23" i="1"/>
  <c r="K28" i="1"/>
  <c r="L27" i="1"/>
  <c r="L16" i="1"/>
  <c r="G44" i="1"/>
  <c r="C17" i="2" l="1"/>
  <c r="C18" i="2" s="1"/>
  <c r="F13" i="2"/>
  <c r="G13" i="2" s="1"/>
  <c r="C13" i="2"/>
  <c r="K42" i="1"/>
  <c r="K46" i="1" l="1"/>
  <c r="B47" i="1" s="1"/>
  <c r="F14" i="2"/>
  <c r="G14" i="2" s="1"/>
  <c r="D17" i="2"/>
  <c r="D18" i="2" s="1"/>
  <c r="D14" i="2"/>
  <c r="B48" i="1" l="1"/>
  <c r="L14" i="1"/>
  <c r="F11" i="2"/>
  <c r="F17" i="2" l="1"/>
  <c r="C9" i="2"/>
  <c r="G9" i="2" s="1"/>
  <c r="E17" i="2"/>
  <c r="G17" i="2" l="1"/>
  <c r="E18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svoa108</author>
    <author>A</author>
    <author>admin</author>
  </authors>
  <commentList>
    <comment ref="B1" authorId="0" shapeId="0" xr:uid="{00000000-0006-0000-0000-000001000000}">
      <text>
        <r>
          <rPr>
            <b/>
            <sz val="20"/>
            <color indexed="81"/>
            <rFont val="TH SarabunPSK"/>
            <family val="2"/>
          </rPr>
          <t xml:space="preserve">ใส่เลขแทน เกณฑ์มาตรฐานหลักสูตรที่ใช้
</t>
        </r>
        <r>
          <rPr>
            <b/>
            <sz val="20"/>
            <color indexed="18"/>
            <rFont val="TH SarabunPSK"/>
            <family val="2"/>
          </rPr>
          <t>1 = พ.ศ. 2548</t>
        </r>
        <r>
          <rPr>
            <b/>
            <sz val="20"/>
            <color indexed="81"/>
            <rFont val="TH SarabunPSK"/>
            <family val="2"/>
          </rPr>
          <t xml:space="preserve">
</t>
        </r>
        <r>
          <rPr>
            <b/>
            <sz val="20"/>
            <color indexed="10"/>
            <rFont val="TH SarabunPSK"/>
            <family val="2"/>
          </rPr>
          <t>2 = พ.ศ. 2558</t>
        </r>
      </text>
    </comment>
    <comment ref="A2" authorId="0" shapeId="0" xr:uid="{00000000-0006-0000-0000-000002000000}">
      <text>
        <r>
          <rPr>
            <b/>
            <sz val="20"/>
            <color indexed="81"/>
            <rFont val="TH SarabunPSK"/>
            <family val="2"/>
          </rPr>
          <t>ใส่ชื่อหลักสูตร
ที่ทำการประเมิน</t>
        </r>
      </text>
    </comment>
    <comment ref="C3" authorId="0" shapeId="0" xr:uid="{00000000-0006-0000-0000-000003000000}">
      <text>
        <r>
          <rPr>
            <b/>
            <sz val="20"/>
            <color indexed="81"/>
            <rFont val="TH SarabunPSK"/>
            <family val="2"/>
          </rPr>
          <t xml:space="preserve">ใส่เลขแทนระดับปริญญา
</t>
        </r>
        <r>
          <rPr>
            <b/>
            <sz val="20"/>
            <color indexed="18"/>
            <rFont val="TH SarabunPSK"/>
            <family val="2"/>
          </rPr>
          <t>1 = ปริญญาตรี</t>
        </r>
        <r>
          <rPr>
            <b/>
            <sz val="20"/>
            <color indexed="81"/>
            <rFont val="TH SarabunPSK"/>
            <family val="2"/>
          </rPr>
          <t xml:space="preserve">
</t>
        </r>
        <r>
          <rPr>
            <b/>
            <sz val="20"/>
            <color indexed="10"/>
            <rFont val="TH SarabunPSK"/>
            <family val="2"/>
          </rPr>
          <t>2 = ปริญญาโท</t>
        </r>
        <r>
          <rPr>
            <b/>
            <sz val="20"/>
            <color indexed="81"/>
            <rFont val="TH SarabunPSK"/>
            <family val="2"/>
          </rPr>
          <t xml:space="preserve">
</t>
        </r>
        <r>
          <rPr>
            <b/>
            <sz val="20"/>
            <color indexed="17"/>
            <rFont val="TH SarabunPSK"/>
            <family val="2"/>
          </rPr>
          <t>3 = ปริญญาเอก</t>
        </r>
      </text>
    </comment>
    <comment ref="B7" authorId="0" shapeId="0" xr:uid="{00000000-0006-0000-0000-000004000000}">
      <text>
        <r>
          <rPr>
            <b/>
            <sz val="20"/>
            <color indexed="81"/>
            <rFont val="TH SarabunPSK"/>
            <family val="2"/>
          </rPr>
          <t>1. จำนวนอาจารย์
ประจำหลักสูตร</t>
        </r>
      </text>
    </comment>
    <comment ref="C7" authorId="0" shapeId="0" xr:uid="{00000000-0006-0000-0000-000005000000}">
      <text>
        <r>
          <rPr>
            <b/>
            <sz val="20"/>
            <color indexed="81"/>
            <rFont val="TH SarabunPSK"/>
            <family val="2"/>
          </rPr>
          <t>2. คุณสมบัติของ
อาจารย์ประจำหลักสูตร</t>
        </r>
      </text>
    </comment>
    <comment ref="D7" authorId="0" shapeId="0" xr:uid="{00000000-0006-0000-0000-000006000000}">
      <text>
        <r>
          <rPr>
            <b/>
            <sz val="20"/>
            <color indexed="81"/>
            <rFont val="TH SarabunPSK"/>
            <family val="2"/>
          </rPr>
          <t>3. คุณสมบัติของ
อาจารย์ผู้รับผิดชอบหลักสูตร</t>
        </r>
      </text>
    </comment>
    <comment ref="E7" authorId="0" shapeId="0" xr:uid="{00000000-0006-0000-0000-000007000000}">
      <text>
        <r>
          <rPr>
            <b/>
            <sz val="20"/>
            <color indexed="81"/>
            <rFont val="TH SarabunPSK"/>
            <family val="2"/>
          </rPr>
          <t>4. คุณสมบัติของ
อาจารย์ผู้สอน</t>
        </r>
      </text>
    </comment>
    <comment ref="F7" authorId="0" shapeId="0" xr:uid="{00000000-0006-0000-0000-000008000000}">
      <text>
        <r>
          <rPr>
            <b/>
            <sz val="20"/>
            <color indexed="81"/>
            <rFont val="TH SarabunPSK"/>
            <family val="2"/>
          </rPr>
          <t>5. คุณสมบัติของอาจารย์
ที่ปรึกษาวิทยานิพนธ์หลัก และ
อาจารย์ที่ปรึกษาการค้นคว้าอิสระ</t>
        </r>
      </text>
    </comment>
    <comment ref="G7" authorId="0" shapeId="0" xr:uid="{00000000-0006-0000-0000-000009000000}">
      <text>
        <r>
          <rPr>
            <b/>
            <sz val="20"/>
            <color indexed="81"/>
            <rFont val="TH SarabunPSK"/>
            <family val="2"/>
          </rPr>
          <t>6. คุณสมบัติของอาจารย์
ที่ปรึกษาวิทยานิพนธ์ร่วม (ถ้ามี)</t>
        </r>
      </text>
    </comment>
    <comment ref="H7" authorId="0" shapeId="0" xr:uid="{00000000-0006-0000-0000-00000A000000}">
      <text>
        <r>
          <rPr>
            <b/>
            <sz val="20"/>
            <color indexed="81"/>
            <rFont val="TH SarabunPSK"/>
            <family val="2"/>
          </rPr>
          <t>7. คุณสมบัติของอาจารย์
ผู้สอบวิทยานิพนธ์</t>
        </r>
      </text>
    </comment>
    <comment ref="I7" authorId="0" shapeId="0" xr:uid="{00000000-0006-0000-0000-00000B000000}">
      <text>
        <r>
          <rPr>
            <b/>
            <sz val="20"/>
            <color indexed="81"/>
            <rFont val="TH SarabunPSK"/>
            <family val="2"/>
          </rPr>
          <t>8. การตีพิมพ์เผยแพร่ผลงาน
ของผู้สำเร็จการศึกษา</t>
        </r>
      </text>
    </comment>
    <comment ref="J7" authorId="0" shapeId="0" xr:uid="{00000000-0006-0000-0000-00000C000000}">
      <text>
        <r>
          <rPr>
            <b/>
            <sz val="20"/>
            <color indexed="81"/>
            <rFont val="TH SarabunPSK"/>
            <family val="2"/>
          </rPr>
          <t>9. ภาระงานอาจารย์ที่ปรึกษา
วิทยานิพนธ์และการค้นคว้า
อิสระในระดับบัณฑิตศึกษา</t>
        </r>
      </text>
    </comment>
    <comment ref="B8" authorId="0" shapeId="0" xr:uid="{00000000-0006-0000-0000-00000D000000}">
      <text>
        <r>
          <rPr>
            <b/>
            <sz val="20"/>
            <color indexed="81"/>
            <rFont val="TH SarabunPSK"/>
            <family val="2"/>
          </rPr>
          <t>10. อาจารย์ที่ปรึกษาวิทยานิพนธ์
และการค้นคว้าอิสระในระดับ
บัณฑิตศึกษามีผลงานวิจัยอย่าง
ต่อเนื่องและสม่ำเสมอ</t>
        </r>
      </text>
    </comment>
    <comment ref="C8" authorId="0" shapeId="0" xr:uid="{00000000-0006-0000-0000-00000E000000}">
      <text>
        <r>
          <rPr>
            <b/>
            <sz val="20"/>
            <color indexed="81"/>
            <rFont val="TH SarabunPSK"/>
            <family val="2"/>
          </rPr>
          <t>11. การปรับปรุงหลักสูตร
ตามรอบระยะเวลาที่กำหนด</t>
        </r>
      </text>
    </comment>
    <comment ref="B9" authorId="0" shapeId="0" xr:uid="{00000000-0006-0000-0000-00000F000000}">
      <text>
        <r>
          <rPr>
            <b/>
            <sz val="20"/>
            <color indexed="81"/>
            <rFont val="TH SarabunPSK"/>
            <family val="2"/>
          </rPr>
          <t>1. จำนวนอาจารย์
ผู้รับผิดชอบหลักสูตร</t>
        </r>
      </text>
    </comment>
    <comment ref="C9" authorId="0" shapeId="0" xr:uid="{00000000-0006-0000-0000-000010000000}">
      <text>
        <r>
          <rPr>
            <b/>
            <sz val="20"/>
            <color indexed="81"/>
            <rFont val="TH SarabunPSK"/>
            <family val="2"/>
          </rPr>
          <t>2. คุณสมบัติของอาจารย์
ผู้รับผิดชอบหลักสูตร</t>
        </r>
      </text>
    </comment>
    <comment ref="D9" authorId="0" shapeId="0" xr:uid="{00000000-0006-0000-0000-000011000000}">
      <text>
        <r>
          <rPr>
            <b/>
            <sz val="20"/>
            <color indexed="81"/>
            <rFont val="TH SarabunPSK"/>
            <family val="2"/>
          </rPr>
          <t>3. คุณสมบัติของอาจารย์
ประจำหลักสูตร</t>
        </r>
      </text>
    </comment>
    <comment ref="E9" authorId="0" shapeId="0" xr:uid="{00000000-0006-0000-0000-000012000000}">
      <text>
        <r>
          <rPr>
            <b/>
            <sz val="20"/>
            <color indexed="81"/>
            <rFont val="TH SarabunPSK"/>
            <family val="2"/>
          </rPr>
          <t>4. คุณสมบัติของ
อาจารย์ผู้สอน</t>
        </r>
      </text>
    </comment>
    <comment ref="F9" authorId="0" shapeId="0" xr:uid="{00000000-0006-0000-0000-000013000000}">
      <text>
        <r>
          <rPr>
            <b/>
            <sz val="20"/>
            <color indexed="81"/>
            <rFont val="TH SarabunPSK"/>
            <family val="2"/>
          </rPr>
          <t>5. คุณสมบัติของอาจารย์
ที่ปรึกษาวิทยานิพนธ์หลัก และ
อาจารย์ที่ปรึกษาการค้นคว้าอิสระ</t>
        </r>
      </text>
    </comment>
    <comment ref="G9" authorId="0" shapeId="0" xr:uid="{00000000-0006-0000-0000-000014000000}">
      <text>
        <r>
          <rPr>
            <b/>
            <sz val="20"/>
            <color indexed="81"/>
            <rFont val="TH SarabunPSK"/>
            <family val="2"/>
          </rPr>
          <t>6. คุณสมบัติของอาจารย์
ที่ปรึกษาวิทยานิพนธ์ร่วม (ถ้ามี)</t>
        </r>
      </text>
    </comment>
    <comment ref="H9" authorId="0" shapeId="0" xr:uid="{00000000-0006-0000-0000-000015000000}">
      <text>
        <r>
          <rPr>
            <b/>
            <sz val="20"/>
            <color indexed="81"/>
            <rFont val="TH SarabunPSK"/>
            <family val="2"/>
          </rPr>
          <t>7. คุณสมบัติของอาจารย์
ผู้สอบวิทยานิพนธ์</t>
        </r>
      </text>
    </comment>
    <comment ref="I9" authorId="0" shapeId="0" xr:uid="{00000000-0006-0000-0000-000016000000}">
      <text>
        <r>
          <rPr>
            <b/>
            <sz val="20"/>
            <color indexed="81"/>
            <rFont val="TH SarabunPSK"/>
            <family val="2"/>
          </rPr>
          <t>8. การตีพิมพ์เผยแพร่ผลงาน
ของผู้สำเร็จการศึกษา</t>
        </r>
      </text>
    </comment>
    <comment ref="J9" authorId="0" shapeId="0" xr:uid="{00000000-0006-0000-0000-000017000000}">
      <text>
        <r>
          <rPr>
            <b/>
            <sz val="20"/>
            <color indexed="81"/>
            <rFont val="TH SarabunPSK"/>
            <family val="2"/>
          </rPr>
          <t>9. ภาระงานอาจารย์ที่ปรึกษา
วิทยานิพนธ์และการค้นคว้า
อิสระในระดับบัณฑิตศึกษา</t>
        </r>
      </text>
    </comment>
    <comment ref="B10" authorId="0" shapeId="0" xr:uid="{00000000-0006-0000-0000-000018000000}">
      <text>
        <r>
          <rPr>
            <b/>
            <sz val="20"/>
            <color indexed="81"/>
            <rFont val="TH SarabunPSK"/>
            <family val="2"/>
          </rPr>
          <t>10. การปรับปรุงหลักสูตร
ตามรอบระยะเวลาที่กำหนด</t>
        </r>
      </text>
    </comment>
    <comment ref="B11" authorId="0" shapeId="0" xr:uid="{00000000-0006-0000-0000-000019000000}">
      <text>
        <r>
          <rPr>
            <b/>
            <sz val="20"/>
            <color indexed="81"/>
            <rFont val="TH SarabunPSK"/>
            <family val="2"/>
          </rPr>
          <t>จำนวนบัณฑิตที่
สำเร็จการศึกษา
ในปีก่อนปีที่ประเมิน</t>
        </r>
      </text>
    </comment>
    <comment ref="D11" authorId="1" shapeId="0" xr:uid="{00000000-0006-0000-0000-00001A000000}">
      <text>
        <r>
          <rPr>
            <b/>
            <sz val="20"/>
            <color indexed="81"/>
            <rFont val="TH SarabunPSK"/>
            <family val="2"/>
          </rPr>
          <t>ผลรวมของค่าคะแนนที่ได้
จากการประเมินบัณฑิต</t>
        </r>
      </text>
    </comment>
    <comment ref="I11" authorId="0" shapeId="0" xr:uid="{00000000-0006-0000-0000-00001B000000}">
      <text>
        <r>
          <rPr>
            <b/>
            <sz val="20"/>
            <color indexed="81"/>
            <rFont val="TH SarabunPSK"/>
            <family val="2"/>
          </rPr>
          <t>ร้อยละของบัณฑิตที่สำเร็จ
การศึกษา ที่ได้รับการ
ประเมินจากผู้ใช้บัณฑิต</t>
        </r>
      </text>
    </comment>
    <comment ref="D12" authorId="1" shapeId="0" xr:uid="{00000000-0006-0000-0000-00001C000000}">
      <text>
        <r>
          <rPr>
            <b/>
            <sz val="20"/>
            <color indexed="81"/>
            <rFont val="TH SarabunPSK"/>
            <family val="2"/>
          </rPr>
          <t>จำนวนบัณฑิตที่ได้รับ
การประเมินทั้งหมด</t>
        </r>
      </text>
    </comment>
    <comment ref="B13" authorId="0" shapeId="0" xr:uid="{00000000-0006-0000-0000-00001D000000}">
      <text>
        <r>
          <rPr>
            <b/>
            <sz val="20"/>
            <color indexed="81"/>
            <rFont val="TH SarabunPSK"/>
            <family val="2"/>
          </rPr>
          <t>จำนวนบัณฑิตที่
สำเร็จการศึกษา
ในปีก่อนปีที่ประเมิน</t>
        </r>
      </text>
    </comment>
    <comment ref="D13" authorId="1" shapeId="0" xr:uid="{00000000-0006-0000-0000-00001E000000}">
      <text>
        <r>
          <rPr>
            <b/>
            <sz val="20"/>
            <color indexed="81"/>
            <rFont val="TH SarabunPSK"/>
            <family val="2"/>
          </rPr>
          <t>จำนวนบัณฑิตปริญญาตรีที่ตอบแบบสำรวจทั้งหมด
ก่อนหัก บัณฑิตที่ศึกษาต่อ เกณฑ์ทหาร อุปสมบท
และบัณฑิตที่มีงานทำแล้วแต่ไม่ได้เปลี่ยนงาน</t>
        </r>
      </text>
    </comment>
    <comment ref="G13" authorId="1" shapeId="0" xr:uid="{00000000-0006-0000-0000-00001F000000}">
      <text>
        <r>
          <rPr>
            <b/>
            <sz val="20"/>
            <color indexed="81"/>
            <rFont val="TH SarabunPSK"/>
            <family val="2"/>
          </rPr>
          <t>จำนวนบัณฑิตปริญญาตรีที่ได้งานทำ
หรือประกอบอาชีพอิสระภายใน 1 ปี</t>
        </r>
      </text>
    </comment>
    <comment ref="I13" authorId="0" shapeId="0" xr:uid="{00000000-0006-0000-0000-000020000000}">
      <text>
        <r>
          <rPr>
            <b/>
            <sz val="20"/>
            <color indexed="81"/>
            <rFont val="TH SarabunPSK"/>
            <family val="2"/>
          </rPr>
          <t>ร้อยละของบัณฑิตปริญญาตรี
ที่ได้งานทำหรือประกอบ
อาชีพอิสระภายใน 1 ปี</t>
        </r>
      </text>
    </comment>
    <comment ref="G14" authorId="1" shapeId="0" xr:uid="{00000000-0006-0000-0000-000021000000}">
      <text>
        <r>
          <rPr>
            <b/>
            <sz val="20"/>
            <color indexed="81"/>
            <rFont val="TH SarabunPSK"/>
            <family val="2"/>
          </rPr>
          <t>จำนวนบัณฑิตปริญญาตรีที่ตอบแบบสำรวจทั้งหมด
หลังจากที่หักจำนวนซึ่งระบุว่า ไม่ต้องนำมาคำนวณ</t>
        </r>
      </text>
    </comment>
    <comment ref="B15" authorId="1" shapeId="0" xr:uid="{00000000-0006-0000-0000-000022000000}">
      <text>
        <r>
          <rPr>
            <b/>
            <sz val="20"/>
            <color indexed="81"/>
            <rFont val="TH SarabunPSK"/>
            <family val="2"/>
          </rPr>
          <t>ผลรวมถ่วงน้ำหนักของผลงาน
ที่ตีพิมพ์หรือเผยแพร่ของนักศึกษา
และผู้สำเร็จการศึกษาระดับปริญญาโท</t>
        </r>
      </text>
    </comment>
    <comment ref="B16" authorId="1" shapeId="0" xr:uid="{00000000-0006-0000-0000-000023000000}">
      <text>
        <r>
          <rPr>
            <b/>
            <sz val="20"/>
            <color indexed="81"/>
            <rFont val="TH SarabunPSK"/>
            <family val="2"/>
          </rPr>
          <t>จำนวนผู้สำเร็จการศึกษา
ระดับปริญญาโททั้งหมด
ในปีที่ประเมิน</t>
        </r>
      </text>
    </comment>
    <comment ref="B17" authorId="1" shapeId="0" xr:uid="{00000000-0006-0000-0000-000024000000}">
      <text>
        <r>
          <rPr>
            <b/>
            <sz val="20"/>
            <color indexed="81"/>
            <rFont val="TH SarabunPSK"/>
            <family val="2"/>
          </rPr>
          <t>ผลรวมถ่วงน้ำหนักของผลงาน
ที่ตีพิมพ์หรือเผยแพร่ของนักศึกษา
และผู้สำเร็จการศึกษาระดับปริญญาเอก</t>
        </r>
      </text>
    </comment>
    <comment ref="B18" authorId="1" shapeId="0" xr:uid="{00000000-0006-0000-0000-000025000000}">
      <text>
        <r>
          <rPr>
            <b/>
            <sz val="20"/>
            <color indexed="81"/>
            <rFont val="TH SarabunPSK"/>
            <family val="2"/>
          </rPr>
          <t>จำนวนผู้สำเร็จการศึกษา
ระดับปริญญาเอกทั้งหมด
ในปีที่ประเมิน</t>
        </r>
      </text>
    </comment>
    <comment ref="B19" authorId="0" shapeId="0" xr:uid="{00000000-0006-0000-0000-000026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19" authorId="0" shapeId="0" xr:uid="{00000000-0006-0000-0000-000027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20" authorId="0" shapeId="0" xr:uid="{00000000-0006-0000-0000-000028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20" authorId="0" shapeId="0" xr:uid="{00000000-0006-0000-0000-000029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21" authorId="0" shapeId="0" xr:uid="{00000000-0006-0000-0000-00002A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21" authorId="0" shapeId="0" xr:uid="{00000000-0006-0000-0000-00002B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22" authorId="0" shapeId="0" xr:uid="{00000000-0006-0000-0000-00002C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22" authorId="0" shapeId="0" xr:uid="{00000000-0006-0000-0000-00002D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24" authorId="0" shapeId="0" xr:uid="{00000000-0006-0000-0000-00002E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ประจำหลักสูตรที่มี
คุณวุฒิปริญญาเอก</t>
        </r>
      </text>
    </comment>
    <comment ref="D24" authorId="0" shapeId="0" xr:uid="{00000000-0006-0000-0000-00002F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25" authorId="0" shapeId="0" xr:uid="{00000000-0006-0000-0000-000030000000}">
      <text>
        <r>
          <rPr>
            <b/>
            <sz val="20"/>
            <color indexed="81"/>
            <rFont val="TH SarabunPSK"/>
            <family val="2"/>
          </rPr>
          <t>จำนวนอาจารย์ประจำหลักสูตร
ที่ดำรงตำแหน่งทางวิชาการ</t>
        </r>
      </text>
    </comment>
    <comment ref="D25" authorId="0" shapeId="0" xr:uid="{00000000-0006-0000-0000-000031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26" authorId="0" shapeId="0" xr:uid="{00000000-0006-0000-0000-000032000000}">
      <text>
        <r>
          <rPr>
            <b/>
            <sz val="20"/>
            <color indexed="81"/>
            <rFont val="TH SarabunPSK"/>
            <family val="2"/>
          </rPr>
          <t>ผลรวมถ่วงน้ำหนัก
ของผลงานทางวิชาการ
ของอาจารย์ประจำหลักสูตร</t>
        </r>
      </text>
    </comment>
    <comment ref="D26" authorId="0" shapeId="0" xr:uid="{00000000-0006-0000-0000-000033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28" authorId="0" shapeId="0" xr:uid="{00000000-0006-0000-0000-000034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ประจำหลักสูตรที่มี
คุณวุฒิปริญญาเอก</t>
        </r>
      </text>
    </comment>
    <comment ref="D28" authorId="0" shapeId="0" xr:uid="{00000000-0006-0000-0000-000035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29" authorId="0" shapeId="0" xr:uid="{00000000-0006-0000-0000-000036000000}">
      <text>
        <r>
          <rPr>
            <b/>
            <sz val="20"/>
            <color indexed="81"/>
            <rFont val="TH SarabunPSK"/>
            <family val="2"/>
          </rPr>
          <t>จำนวนอาจารย์ประจำหลักสูตร
ที่ดำรงตำแหน่งทางวิชาการ</t>
        </r>
      </text>
    </comment>
    <comment ref="D29" authorId="0" shapeId="0" xr:uid="{00000000-0006-0000-0000-000037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30" authorId="0" shapeId="0" xr:uid="{00000000-0006-0000-0000-000038000000}">
      <text>
        <r>
          <rPr>
            <b/>
            <sz val="20"/>
            <color indexed="81"/>
            <rFont val="TH SarabunPSK"/>
            <family val="2"/>
          </rPr>
          <t>ผลรวมถ่วงน้ำหนัก
ของผลงานทางวิชาการ
ของอาจารย์ประจำหลักสูตร</t>
        </r>
      </text>
    </comment>
    <comment ref="D30" authorId="0" shapeId="0" xr:uid="{00000000-0006-0000-0000-000039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32" authorId="0" shapeId="0" xr:uid="{00000000-0006-0000-0000-00003A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ประจำหลักสูตรที่มี
คุณวุฒิปริญญาเอก</t>
        </r>
      </text>
    </comment>
    <comment ref="D32" authorId="0" shapeId="0" xr:uid="{00000000-0006-0000-0000-00003B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33" authorId="0" shapeId="0" xr:uid="{00000000-0006-0000-0000-00003C000000}">
      <text>
        <r>
          <rPr>
            <b/>
            <sz val="20"/>
            <color indexed="81"/>
            <rFont val="TH SarabunPSK"/>
            <family val="2"/>
          </rPr>
          <t>จำนวนอาจารย์ประจำหลักสูตร
ที่ดำรงตำแหน่งทางวิชาการ</t>
        </r>
      </text>
    </comment>
    <comment ref="D33" authorId="0" shapeId="0" xr:uid="{00000000-0006-0000-0000-00003D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34" authorId="0" shapeId="0" xr:uid="{00000000-0006-0000-0000-00003E000000}">
      <text>
        <r>
          <rPr>
            <b/>
            <sz val="20"/>
            <color indexed="81"/>
            <rFont val="TH SarabunPSK"/>
            <family val="2"/>
          </rPr>
          <t>ผลรวมถ่วงน้ำหนัก
ของผลงานทางวิชาการ
ของอาจารย์ประจำหลักสูตร</t>
        </r>
      </text>
    </comment>
    <comment ref="D34" authorId="0" shapeId="0" xr:uid="{00000000-0006-0000-0000-00003F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F35" authorId="0" shapeId="0" xr:uid="{00000000-0006-0000-0000-000040000000}">
      <text>
        <r>
          <rPr>
            <b/>
            <sz val="20"/>
            <color indexed="81"/>
            <rFont val="TH SarabunPSK"/>
            <family val="2"/>
          </rPr>
          <t>จำนวนบทความ
ที่ได้รับการอ้างอิง</t>
        </r>
      </text>
    </comment>
    <comment ref="H35" authorId="0" shapeId="0" xr:uid="{00000000-0006-0000-0000-000041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F36" authorId="0" shapeId="0" xr:uid="{00000000-0006-0000-0000-000042000000}">
      <text>
        <r>
          <rPr>
            <b/>
            <sz val="20"/>
            <color indexed="81"/>
            <rFont val="TH SarabunPSK"/>
            <family val="2"/>
          </rPr>
          <t>จำนวนบทความ
ที่ได้รับการอ้างอิง</t>
        </r>
      </text>
    </comment>
    <comment ref="H36" authorId="0" shapeId="0" xr:uid="{00000000-0006-0000-0000-000043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F37" authorId="0" shapeId="0" xr:uid="{00000000-0006-0000-0000-000044000000}">
      <text>
        <r>
          <rPr>
            <b/>
            <sz val="20"/>
            <color indexed="81"/>
            <rFont val="TH SarabunPSK"/>
            <family val="2"/>
          </rPr>
          <t>จำนวนบทความ
ที่ได้รับการอ้างอิง</t>
        </r>
      </text>
    </comment>
    <comment ref="H37" authorId="0" shapeId="0" xr:uid="{00000000-0006-0000-0000-000045000000}">
      <text>
        <r>
          <rPr>
            <b/>
            <sz val="20"/>
            <color indexed="81"/>
            <rFont val="TH SarabunPSK"/>
            <family val="2"/>
          </rPr>
          <t>จำนวนอาจารย์
ประจำหลักสูตรทั้งหมด</t>
        </r>
      </text>
    </comment>
    <comment ref="B38" authorId="0" shapeId="0" xr:uid="{00000000-0006-0000-0000-000046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38" authorId="0" shapeId="0" xr:uid="{00000000-0006-0000-0000-000047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39" authorId="0" shapeId="0" xr:uid="{00000000-0006-0000-0000-000048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39" authorId="0" shapeId="0" xr:uid="{00000000-0006-0000-0000-000049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40" authorId="0" shapeId="0" xr:uid="{00000000-0006-0000-0000-00004A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40" authorId="0" shapeId="0" xr:uid="{00000000-0006-0000-0000-00004B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B41" authorId="0" shapeId="0" xr:uid="{00000000-0006-0000-0000-00004C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41" authorId="0" shapeId="0" xr:uid="{00000000-0006-0000-0000-00004D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  <comment ref="A42" authorId="2" shapeId="0" xr:uid="{00000000-0006-0000-0000-00004E000000}">
      <text>
        <r>
          <rPr>
            <b/>
            <sz val="17"/>
            <color indexed="81"/>
            <rFont val="TH SarabunPSK"/>
            <family val="2"/>
          </rPr>
          <t>เป็นไปตามเกณฑ์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TQF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ใส่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Y,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ไม่ใช่ใส่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N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และข้อ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7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ไม่ได้ทำ ให้เคาะ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space</t>
        </r>
        <r>
          <rPr>
            <b/>
            <sz val="8"/>
            <color indexed="81"/>
            <rFont val="TH SarabunPSK"/>
            <family val="2"/>
          </rPr>
          <t xml:space="preserve"> </t>
        </r>
        <r>
          <rPr>
            <b/>
            <sz val="17"/>
            <color indexed="81"/>
            <rFont val="TH SarabunPSK"/>
            <family val="2"/>
          </rPr>
          <t>bar</t>
        </r>
      </text>
    </comment>
    <comment ref="B42" authorId="0" shapeId="0" xr:uid="{00000000-0006-0000-0000-00004F000000}">
      <text>
        <r>
          <rPr>
            <b/>
            <sz val="20"/>
            <color indexed="81"/>
            <rFont val="TH SarabunPSK"/>
            <family val="2"/>
          </rPr>
          <t>1. อาจารย์ประจำหลักสูตรอย่างน้อย
ร้อยละ 80 มีส่วนร่วมในการประชุม
เพื่อวางแผน ติดตาม และทบทวน
การดำเนินงานหลักสูตร</t>
        </r>
      </text>
    </comment>
    <comment ref="C42" authorId="0" shapeId="0" xr:uid="{00000000-0006-0000-0000-000050000000}">
      <text>
        <r>
          <rPr>
            <b/>
            <sz val="20"/>
            <color indexed="81"/>
            <rFont val="TH SarabunPSK"/>
            <family val="2"/>
          </rPr>
          <t>2. มีรายละเอียดของหลักสูตร ตามแบบ
มคอ. 2 ที่สอดคล้องกับกรอบมาตรฐาน
คุณวุฒิแห่งชาติ หรือมาตรฐานคุณวุฒิ
สาขา/สาขาวิชา (ถ้ามี)</t>
        </r>
      </text>
    </comment>
    <comment ref="D42" authorId="0" shapeId="0" xr:uid="{00000000-0006-0000-0000-000051000000}">
      <text>
        <r>
          <rPr>
            <b/>
            <sz val="20"/>
            <color indexed="81"/>
            <rFont val="TH SarabunPSK"/>
            <family val="2"/>
          </rPr>
          <t>3. มีรายละเอียดของรายวิชา และ
รายละเอียดของประสบการณ์ภาคสนาม
(ถ้ามี) ตามแบบ มคอ. 3 และ มคอ. 4
อย่างน้อยก่อนการเปิดสอนในแต่ละภาค
การศึกษาให้ครบทุกรายวิชา</t>
        </r>
      </text>
    </comment>
    <comment ref="E42" authorId="0" shapeId="0" xr:uid="{00000000-0006-0000-0000-000052000000}">
      <text>
        <r>
          <rPr>
            <b/>
            <sz val="20"/>
            <color indexed="81"/>
            <rFont val="TH SarabunPSK"/>
            <family val="2"/>
          </rPr>
          <t>4. จัดทำรายงานผลการดำเนินการของรายวิชา
และรายงานผลการดำเนินการของประสบการณ์
ภาคสนาม (ถ้ามี) ตามแบบ มคอ. 5 และ มคอ. 6
ภายใน 30 วัน หลังสิ้นสุดภาคการศึกษาที่เปิดสอน
ให้ครบทุกรายวิชา</t>
        </r>
      </text>
    </comment>
    <comment ref="F42" authorId="0" shapeId="0" xr:uid="{00000000-0006-0000-0000-000053000000}">
      <text>
        <r>
          <rPr>
            <b/>
            <sz val="20"/>
            <color indexed="81"/>
            <rFont val="TH SarabunPSK"/>
            <family val="2"/>
          </rPr>
          <t>5. จัดทำรายงานผลการดำเนินการ
ของหลักสูตร ตามแบบ มคอ. 7 
ภายใน 60 วัน หลังสิ้นสุดปีการศึกษา</t>
        </r>
      </text>
    </comment>
    <comment ref="G42" authorId="0" shapeId="0" xr:uid="{00000000-0006-0000-0000-000054000000}">
      <text>
        <r>
          <rPr>
            <b/>
            <sz val="20"/>
            <color indexed="81"/>
            <rFont val="TH SarabunPSK"/>
            <family val="2"/>
          </rPr>
          <t>6. มีการทวนสอบผลสัมฤทธิ์ของนักศึกษาตาม
มาตรฐานผลการเรียนรู้ที่กำหนดใน มคอ.3 
และ มคอ.4 (ถ้ามี) อย่างน้อยร้อยละ 25 ของ
รายวิชาที่เปิดสอนในแต่ละปีการศึกษา</t>
        </r>
      </text>
    </comment>
    <comment ref="H42" authorId="0" shapeId="0" xr:uid="{00000000-0006-0000-0000-000055000000}">
      <text>
        <r>
          <rPr>
            <b/>
            <sz val="20"/>
            <color indexed="81"/>
            <rFont val="TH SarabunPSK"/>
            <family val="2"/>
          </rPr>
          <t>7. มีการพัฒนา/ปรับปรุงการจัด
การเรียนการสอน กลยุทธ์การสอน
หรือการประเมินผลการเรียนรู้ จาก
ผลการประเมินการดำเนินงานที่
รายงานใน มคอ.7 ปีที่แล้ว</t>
        </r>
      </text>
    </comment>
    <comment ref="I42" authorId="0" shapeId="0" xr:uid="{00000000-0006-0000-0000-000056000000}">
      <text>
        <r>
          <rPr>
            <b/>
            <sz val="20"/>
            <color indexed="81"/>
            <rFont val="TH SarabunPSK"/>
            <family val="2"/>
          </rPr>
          <t>8. อาจารย์ใหม่ (ถ้ามี) ทุกคน
ได้รับการปฐมนิเทศหรือคำแนะนำ
ด้านการจัดการเรียนการสอน</t>
        </r>
      </text>
    </comment>
    <comment ref="J42" authorId="0" shapeId="0" xr:uid="{00000000-0006-0000-0000-000057000000}">
      <text>
        <r>
          <rPr>
            <b/>
            <sz val="20"/>
            <color indexed="81"/>
            <rFont val="TH SarabunPSK"/>
            <family val="2"/>
          </rPr>
          <t>9. อาจารย์ประจำทุกคนได้รับ
การพัฒนาทางวิชาการ และ/หรือ
วิชาชีพ อย่างน้อยปีละหนึ่งครั้ง</t>
        </r>
      </text>
    </comment>
    <comment ref="B43" authorId="0" shapeId="0" xr:uid="{00000000-0006-0000-0000-000058000000}">
      <text>
        <r>
          <rPr>
            <b/>
            <sz val="20"/>
            <color indexed="81"/>
            <rFont val="TH SarabunPSK"/>
            <family val="2"/>
          </rPr>
          <t>10. จำนวนบุคลากรสนับสนุนการ
เรียนการสอน (ถ้ามี) ได้รับการพัฒนา
วิชาการ และ/หรือ วิชาชีพ ไม่น้อย
กว่าร้อยละ 50 ต่อปี</t>
        </r>
      </text>
    </comment>
    <comment ref="C43" authorId="0" shapeId="0" xr:uid="{00000000-0006-0000-0000-000059000000}">
      <text>
        <r>
          <rPr>
            <b/>
            <sz val="20"/>
            <color indexed="81"/>
            <rFont val="TH SarabunPSK"/>
            <family val="2"/>
          </rPr>
          <t>11. ระดับความพึงพอใจของ
นักศึกษาปีสุดท้าย/บัณฑิตใหม่ที่มี
ต่อคุณภาพหลักสูตรเฉลี่ยไม่น้อย
กว่า 3.5 จากคะแนนเต็ม 5.0</t>
        </r>
      </text>
    </comment>
    <comment ref="D43" authorId="0" shapeId="0" xr:uid="{00000000-0006-0000-0000-00005A000000}">
      <text>
        <r>
          <rPr>
            <b/>
            <sz val="20"/>
            <color indexed="81"/>
            <rFont val="TH SarabunPSK"/>
            <family val="2"/>
          </rPr>
          <t>12. ระดับความพึงพอใจของ
ผู้ใช้บัณฑิตที่มีต่อบัณฑิตใหม่
เฉลี่ยไม่น้อยกว่า 3.5 จาก
คะแนนเต็ม 5.0</t>
        </r>
      </text>
    </comment>
    <comment ref="E43" authorId="0" shapeId="0" xr:uid="{00000000-0006-0000-0000-00005B000000}">
      <text>
        <r>
          <rPr>
            <b/>
            <sz val="20"/>
            <color indexed="81"/>
            <rFont val="TH SarabunPSK"/>
            <family val="2"/>
          </rPr>
          <t>13. การพัฒนาทักษะในหลักสูตรที่มี มคอ 1</t>
        </r>
      </text>
    </comment>
    <comment ref="F43" authorId="0" shapeId="0" xr:uid="{00000000-0006-0000-0000-00005C000000}">
      <text>
        <r>
          <rPr>
            <b/>
            <sz val="20"/>
            <color indexed="81"/>
            <rFont val="TH SarabunPSK"/>
            <family val="2"/>
          </rPr>
          <t xml:space="preserve">14. </t>
        </r>
      </text>
    </comment>
    <comment ref="G43" authorId="0" shapeId="0" xr:uid="{00000000-0006-0000-0000-00005D000000}">
      <text>
        <r>
          <rPr>
            <b/>
            <sz val="20"/>
            <color indexed="81"/>
            <rFont val="TH SarabunPSK"/>
            <family val="2"/>
          </rPr>
          <t xml:space="preserve">15. </t>
        </r>
      </text>
    </comment>
    <comment ref="H43" authorId="0" shapeId="0" xr:uid="{00000000-0006-0000-0000-00005E000000}">
      <text>
        <r>
          <rPr>
            <b/>
            <sz val="20"/>
            <color indexed="81"/>
            <rFont val="TH SarabunPSK"/>
            <family val="2"/>
          </rPr>
          <t xml:space="preserve">16. </t>
        </r>
      </text>
    </comment>
    <comment ref="I43" authorId="0" shapeId="0" xr:uid="{00000000-0006-0000-0000-00005F000000}">
      <text>
        <r>
          <rPr>
            <b/>
            <sz val="20"/>
            <color indexed="81"/>
            <rFont val="TH SarabunPSK"/>
            <family val="2"/>
          </rPr>
          <t xml:space="preserve">17. </t>
        </r>
      </text>
    </comment>
    <comment ref="J43" authorId="0" shapeId="0" xr:uid="{00000000-0006-0000-0000-000060000000}">
      <text>
        <r>
          <rPr>
            <b/>
            <sz val="20"/>
            <color indexed="81"/>
            <rFont val="TH SarabunPSK"/>
            <family val="2"/>
          </rPr>
          <t xml:space="preserve">18. </t>
        </r>
      </text>
    </comment>
    <comment ref="B44" authorId="0" shapeId="0" xr:uid="{00000000-0006-0000-0000-000061000000}">
      <text>
        <r>
          <rPr>
            <b/>
            <sz val="20"/>
            <color indexed="81"/>
            <rFont val="TH SarabunPSK"/>
            <family val="2"/>
          </rPr>
          <t xml:space="preserve">19. </t>
        </r>
      </text>
    </comment>
    <comment ref="C44" authorId="0" shapeId="0" xr:uid="{00000000-0006-0000-0000-000062000000}">
      <text>
        <r>
          <rPr>
            <b/>
            <sz val="20"/>
            <color indexed="81"/>
            <rFont val="TH SarabunPSK"/>
            <family val="2"/>
          </rPr>
          <t xml:space="preserve">20. </t>
        </r>
      </text>
    </comment>
    <comment ref="D44" authorId="0" shapeId="0" xr:uid="{00000000-0006-0000-0000-000063000000}">
      <text>
        <r>
          <rPr>
            <b/>
            <sz val="20"/>
            <color indexed="81"/>
            <rFont val="TH SarabunPSK"/>
            <family val="2"/>
          </rPr>
          <t>ให่ใส่เลข 1 เลข 2 หรือเลข 3
เมื่อ มคอ 2 ในหมวดที่ 7 ข้อ 7 ระบุว่า
1. ต้องควบคุมกำกับให้ตัวบ่งชี้ใน 5 ข้อแรกผ่าน
2. ไม่ต้องควบคุมกำกับให้ตัวบ่งชี้ใน 5 ข้อแรกต้องผ่านทุกข้อ
และเมื่อมีมติ จากสภาสถาบัน อนุญาตให้ปรับจำนวนข้อของ
TQF ในหลักสูตร ให้ใส่เลข 3</t>
        </r>
      </text>
    </comment>
    <comment ref="E44" authorId="0" shapeId="0" xr:uid="{00000000-0006-0000-0000-000064000000}">
      <text>
        <r>
          <rPr>
            <b/>
            <sz val="20"/>
            <color indexed="81"/>
            <rFont val="TH SarabunPSK"/>
            <family val="2"/>
          </rPr>
          <t xml:space="preserve">จำนวนข้อของผลการดำเนินงาน </t>
        </r>
        <r>
          <rPr>
            <b/>
            <u/>
            <sz val="22"/>
            <color indexed="81"/>
            <rFont val="TH SarabunPSK"/>
            <family val="2"/>
          </rPr>
          <t xml:space="preserve">ที่ทำได้
</t>
        </r>
        <r>
          <rPr>
            <b/>
            <sz val="20"/>
            <color indexed="81"/>
            <rFont val="TH SarabunPSK"/>
            <family val="2"/>
          </rPr>
          <t>ตามตัวบ่งชี้การดำเนินงานตามกรอบ
มาตรฐานคุณวุฒิระดับอุดมศึกษา</t>
        </r>
      </text>
    </comment>
    <comment ref="F44" authorId="0" shapeId="0" xr:uid="{00000000-0006-0000-0000-000065000000}">
      <text>
        <r>
          <rPr>
            <b/>
            <sz val="20"/>
            <color indexed="81"/>
            <rFont val="TH SarabunPSK"/>
            <family val="2"/>
          </rPr>
          <t>จำนวนข้อตามตัวบ่งชี้การดำเนินงานตาม
กรอบมาตรฐานคุณวุฒิระดับอุดมศึกษา
ที่ระบุไว้ในหลักสูตรแต่ละปี</t>
        </r>
      </text>
    </comment>
    <comment ref="B45" authorId="0" shapeId="0" xr:uid="{00000000-0006-0000-0000-000066000000}">
      <text>
        <r>
          <rPr>
            <b/>
            <sz val="20"/>
            <color indexed="81"/>
            <rFont val="TH SarabunPSK"/>
            <family val="2"/>
          </rPr>
          <t>ใส่จุดเด่น ที่เป็น
ข้อความสั้นๆ ได้</t>
        </r>
      </text>
    </comment>
    <comment ref="J45" authorId="0" shapeId="0" xr:uid="{00000000-0006-0000-0000-000067000000}">
      <text>
        <r>
          <rPr>
            <b/>
            <sz val="20"/>
            <color indexed="81"/>
            <rFont val="TH SarabunPSK"/>
            <family val="2"/>
          </rPr>
          <t>ใส่คะแนนที่ประเมินได้ ซึ่งมี
ค่าตั้งแต่ 0 คะแนน - 5 คะแนน</t>
        </r>
      </text>
    </comment>
  </commentList>
</comments>
</file>

<file path=xl/sharedStrings.xml><?xml version="1.0" encoding="utf-8"?>
<sst xmlns="http://schemas.openxmlformats.org/spreadsheetml/2006/main" count="73" uniqueCount="62">
  <si>
    <t>ตัวบ่งชี้คุณภาพ</t>
  </si>
  <si>
    <t xml:space="preserve"> ผลการดำเนินงาน</t>
  </si>
  <si>
    <t>คะแนนการประเมิน
(ตามเกณฑ์ สกอ.)</t>
  </si>
  <si>
    <t>ตัวตั้ง</t>
  </si>
  <si>
    <t>ผลลัพธ์
(% หรือสัดส่วน)</t>
  </si>
  <si>
    <t>ตัวหาร</t>
  </si>
  <si>
    <t>1.1 การบริหารจัดการหลักสูตรตามเกณฑ์มาตรฐานหลักสูตรที่กำหนดโดย สกอ.</t>
  </si>
  <si>
    <t>2.1 คุณภาพบัณฑิตตามกรอบมาตรฐานคุณวุฒิ ระดับอุดมศึกษาแห่งชาติ</t>
  </si>
  <si>
    <t>2.2 (ปริญญาตรี) ร้อยละของบัณฑิตปริญญาตรีที่ได้งานทำหรือประกอบอาชีพอิสระภายใน 1 ปี</t>
  </si>
  <si>
    <t>2.2 (ปริญญาโท) ผลงานของนักศึกษาและผู้สำเร็จการศึกษาในระดับปริญญาโทที่ได้รับการตีพิมพ์หรือเผยแพร่</t>
  </si>
  <si>
    <t>2.2 (ปริญญาเอก) ผลงานของนักศึกษาและผู้สำเร็จการศึกษาในระดับปริญญาเอกที่ได้รับการตีพิมพ์หรือเผยแพร่</t>
  </si>
  <si>
    <t>3.1 การรับนักศึกษา</t>
  </si>
  <si>
    <t>3.2 การส่งเสริมและพัฒนานักศึกษา</t>
  </si>
  <si>
    <t>3.3 ผลที่เกิดกับนักศึกษา</t>
  </si>
  <si>
    <t>4.1 การบริหารและพัฒนาอาจารย์</t>
  </si>
  <si>
    <r>
      <t xml:space="preserve">4.2 คุณภาพอาจารย์ </t>
    </r>
    <r>
      <rPr>
        <b/>
        <sz val="16"/>
        <color rgb="FFFF0000"/>
        <rFont val="TH SarabunPSK"/>
        <family val="2"/>
      </rPr>
      <t>หลักสูตรปริญญาตรี</t>
    </r>
  </si>
  <si>
    <r>
      <t xml:space="preserve">     ผลงานทางวิชาการของอาจารย์ประจำ</t>
    </r>
    <r>
      <rPr>
        <b/>
        <sz val="16"/>
        <color rgb="FFFF0000"/>
        <rFont val="TH SarabunPSK"/>
        <family val="2"/>
      </rPr>
      <t>หลักสูตรปริญญาตรี</t>
    </r>
  </si>
  <si>
    <r>
      <t xml:space="preserve">4.2 คุณภาพอาจารย์ </t>
    </r>
    <r>
      <rPr>
        <b/>
        <sz val="16"/>
        <color rgb="FF0000CC"/>
        <rFont val="TH SarabunPSK"/>
        <family val="2"/>
      </rPr>
      <t>หลักสูตรปริญญาโท</t>
    </r>
  </si>
  <si>
    <r>
      <t xml:space="preserve">     ผลงานทางวิชาการของอาจารย์ประจำ</t>
    </r>
    <r>
      <rPr>
        <b/>
        <sz val="16"/>
        <color rgb="FF0000CC"/>
        <rFont val="TH SarabunPSK"/>
        <family val="2"/>
      </rPr>
      <t>หลักสูตรปริญญาโท</t>
    </r>
  </si>
  <si>
    <r>
      <t xml:space="preserve">4.2 คุณภาพอาจารย์ </t>
    </r>
    <r>
      <rPr>
        <b/>
        <sz val="16"/>
        <color rgb="FFFF0000"/>
        <rFont val="TH SarabunPSK"/>
        <family val="2"/>
      </rPr>
      <t>หลักสูตรปริญญาเอก</t>
    </r>
  </si>
  <si>
    <r>
      <t xml:space="preserve">     ผลงานทางวิชาการของอาจารย์ประจำ</t>
    </r>
    <r>
      <rPr>
        <b/>
        <sz val="16"/>
        <color rgb="FFFF0000"/>
        <rFont val="TH SarabunPSK"/>
        <family val="2"/>
      </rPr>
      <t>หลักสูตรปริญญาเอก</t>
    </r>
  </si>
  <si>
    <r>
      <t xml:space="preserve">     </t>
    </r>
    <r>
      <rPr>
        <b/>
        <sz val="16"/>
        <color rgb="FFC00000"/>
        <rFont val="TH SarabunPSK"/>
        <family val="2"/>
      </rPr>
      <t>จำนวนบทความของอาจารย์ประจำหลักสูตร</t>
    </r>
    <r>
      <rPr>
        <b/>
        <sz val="16"/>
        <color rgb="FF660066"/>
        <rFont val="TH SarabunPSK"/>
        <family val="2"/>
      </rPr>
      <t>ปริญญาเอก</t>
    </r>
    <r>
      <rPr>
        <b/>
        <sz val="16"/>
        <color rgb="FFC00000"/>
        <rFont val="TH SarabunPSK"/>
        <family val="2"/>
      </rPr>
      <t>ที่ได้รับการอ้างอิง</t>
    </r>
  </si>
  <si>
    <t>วิทย์และเทคโนโลยี</t>
  </si>
  <si>
    <r>
      <t xml:space="preserve">          </t>
    </r>
    <r>
      <rPr>
        <b/>
        <sz val="16"/>
        <color rgb="FFC00000"/>
        <rFont val="TH SarabunPSK"/>
        <family val="2"/>
      </rPr>
      <t>ในฐานข้อมูล TCI และ SCOPUS ต่อจำนวนอาจารย์ประจำหลักสูตร</t>
    </r>
  </si>
  <si>
    <t>วิทย์สุขภาพ</t>
  </si>
  <si>
    <t>มนุษย์สังคม</t>
  </si>
  <si>
    <t>4.3 ผลที่เกิดกับอาจารย์</t>
  </si>
  <si>
    <t>5.1 สาระของรายวิชาในหลักสูตร</t>
  </si>
  <si>
    <t>5.2 การวางระบบผู้สอนและกระบวนการจัดการเรียนการสอน</t>
  </si>
  <si>
    <t>5.3 การประเมินผู้เรียน</t>
  </si>
  <si>
    <t>5.4 ผลการดำเนินงานหลักสูตรตามกรอบมาตรฐานคุณวุฒิระดับอุดมศึกษาแห่งชาติ</t>
  </si>
  <si>
    <t>6.1 สิ่งสนับสนุนการเรียนรู้</t>
  </si>
  <si>
    <t>คะแนนเฉลี่ยของ
ตัวบ่งชี้ในองค์ประกอบที่ 2-6</t>
  </si>
  <si>
    <t>ผลการประเมินระดับหลักสูตร</t>
  </si>
  <si>
    <t>หลักสูตร</t>
  </si>
  <si>
    <t>ตารางการวิเคราะห์คุณภาพการศึกษาภายในระดับหลักสูตร</t>
  </si>
  <si>
    <t>องค์ ประกอบ ที่</t>
  </si>
  <si>
    <t>จำนวนตัวบ่งชี้</t>
  </si>
  <si>
    <t>I</t>
  </si>
  <si>
    <t>P</t>
  </si>
  <si>
    <t>O</t>
  </si>
  <si>
    <t>คะแนนเฉลี่ยของทุกตัวบ่งชี้ในองค์ประกอบที่ 2-6</t>
  </si>
  <si>
    <t>ผลการประเมิน</t>
  </si>
  <si>
    <t>0.01 – 2.00 ระดับคุณภาพน้อย</t>
  </si>
  <si>
    <t>2.01 – 3.00 ระดับคุณภาพปานกลาง</t>
  </si>
  <si>
    <t>3.01 – 4.00 ระดับคุณภาพดี</t>
  </si>
  <si>
    <t>4.01 – 5.00 ระดับคุณภาพดีมาก</t>
  </si>
  <si>
    <t>-</t>
  </si>
  <si>
    <t>รวม</t>
  </si>
  <si>
    <t>คะแนนเฉลี่ย</t>
  </si>
  <si>
    <r>
      <rPr>
        <b/>
        <sz val="20"/>
        <rFont val="TH SarabunPSK"/>
        <family val="2"/>
      </rPr>
      <t>(เลข</t>
    </r>
    <r>
      <rPr>
        <b/>
        <sz val="20"/>
        <color rgb="FF0000CC"/>
        <rFont val="TH SarabunPSK"/>
        <family val="2"/>
      </rPr>
      <t xml:space="preserve"> 1 แทนระดับ ปริญญาตรี,</t>
    </r>
    <r>
      <rPr>
        <b/>
        <sz val="20"/>
        <color rgb="FFFF0000"/>
        <rFont val="TH SarabunPSK"/>
        <family val="2"/>
      </rPr>
      <t xml:space="preserve"> 2 = ปริญญาโท,</t>
    </r>
    <r>
      <rPr>
        <b/>
        <sz val="20"/>
        <color rgb="FF0000CC"/>
        <rFont val="TH SarabunPSK"/>
        <family val="2"/>
      </rPr>
      <t xml:space="preserve"> </t>
    </r>
    <r>
      <rPr>
        <b/>
        <sz val="20"/>
        <color theme="9" tint="-0.499984740745262"/>
        <rFont val="TH SarabunPSK"/>
        <family val="2"/>
      </rPr>
      <t>3 = ปริญญาเอก</t>
    </r>
    <r>
      <rPr>
        <b/>
        <sz val="20"/>
        <rFont val="TH SarabunPSK"/>
        <family val="2"/>
      </rPr>
      <t>)</t>
    </r>
  </si>
  <si>
    <t>ช่องนี้ให้ใส่เลขแทนระดับปริญญา</t>
  </si>
  <si>
    <t>ระดับปริญญา</t>
  </si>
  <si>
    <t>ใส่ชื่อหลักสูตรที่ทำการประเมิน</t>
  </si>
  <si>
    <r>
      <t xml:space="preserve">     อาจารย์ประจำ</t>
    </r>
    <r>
      <rPr>
        <b/>
        <sz val="16"/>
        <color rgb="FFFF0000"/>
        <rFont val="TH SarabunPSK"/>
        <family val="2"/>
      </rPr>
      <t>หลักสูตรปริญญาตรี</t>
    </r>
    <r>
      <rPr>
        <b/>
        <sz val="16"/>
        <color theme="1"/>
        <rFont val="TH SarabunPSK"/>
        <family val="2"/>
      </rPr>
      <t xml:space="preserve"> ที่มีคุณวุฒิปริญญาเอก</t>
    </r>
  </si>
  <si>
    <r>
      <t xml:space="preserve">     อาจารย์ประจำ</t>
    </r>
    <r>
      <rPr>
        <b/>
        <sz val="16"/>
        <color rgb="FFFF0000"/>
        <rFont val="TH SarabunPSK"/>
        <family val="2"/>
      </rPr>
      <t>หลักสูตรปริญญาตรี</t>
    </r>
    <r>
      <rPr>
        <b/>
        <sz val="16"/>
        <color theme="1"/>
        <rFont val="TH SarabunPSK"/>
        <family val="2"/>
      </rPr>
      <t xml:space="preserve"> ที่ดำรงตำแหน่งทางวิชาการ</t>
    </r>
  </si>
  <si>
    <r>
      <t xml:space="preserve">     อาจารย์ประจำ</t>
    </r>
    <r>
      <rPr>
        <b/>
        <sz val="16"/>
        <color rgb="FF0000CC"/>
        <rFont val="TH SarabunPSK"/>
        <family val="2"/>
      </rPr>
      <t>หลักสูตรปริญญาโท</t>
    </r>
    <r>
      <rPr>
        <b/>
        <sz val="16"/>
        <color theme="1"/>
        <rFont val="TH SarabunPSK"/>
        <family val="2"/>
      </rPr>
      <t xml:space="preserve"> ที่มีคุณวุฒิปริญญาเอก</t>
    </r>
  </si>
  <si>
    <r>
      <t xml:space="preserve">     อาจารย์ประจำ</t>
    </r>
    <r>
      <rPr>
        <b/>
        <sz val="16"/>
        <color rgb="FF0000CC"/>
        <rFont val="TH SarabunPSK"/>
        <family val="2"/>
      </rPr>
      <t>หลักสูตรปริญญาโท</t>
    </r>
    <r>
      <rPr>
        <b/>
        <sz val="16"/>
        <color theme="1"/>
        <rFont val="TH SarabunPSK"/>
        <family val="2"/>
      </rPr>
      <t xml:space="preserve"> ที่ดำรงตำแหน่งทางวิชาการ</t>
    </r>
  </si>
  <si>
    <r>
      <t xml:space="preserve">     อาจารย์ประจำ</t>
    </r>
    <r>
      <rPr>
        <b/>
        <sz val="16"/>
        <color rgb="FFFF0000"/>
        <rFont val="TH SarabunPSK"/>
        <family val="2"/>
      </rPr>
      <t>หลักสูตรปริญญาเอก</t>
    </r>
    <r>
      <rPr>
        <b/>
        <sz val="16"/>
        <color theme="1"/>
        <rFont val="TH SarabunPSK"/>
        <family val="2"/>
      </rPr>
      <t xml:space="preserve"> ที่มีคุณวุฒิปริญญาเอก</t>
    </r>
  </si>
  <si>
    <r>
      <t xml:space="preserve">     อาจารย์ประจำ</t>
    </r>
    <r>
      <rPr>
        <b/>
        <sz val="16"/>
        <color rgb="FFFF0000"/>
        <rFont val="TH SarabunPSK"/>
        <family val="2"/>
      </rPr>
      <t>หลักสูตรปริญญาเอก</t>
    </r>
    <r>
      <rPr>
        <b/>
        <sz val="16"/>
        <color theme="1"/>
        <rFont val="TH SarabunPSK"/>
        <family val="2"/>
      </rPr>
      <t xml:space="preserve"> ที่ดำรงตำแหน่งทางวิชาการ</t>
    </r>
  </si>
  <si>
    <t>ช่องนี้ใส่เลขแทน เกณฑ์มาตรฐานหลักสูตร พ.ศ.</t>
  </si>
  <si>
    <t>เป็นไปตามเกณฑ์ใส่ Y ไม่ใช่ใส่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</si>
</sst>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0.0"/>
    <numFmt numFmtId="189" formatCode="#,##0.0"/>
  </numFmts>
  <fonts count="4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color rgb="FF0000CC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20"/>
      <color theme="9" tint="-0.499984740745262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0000CC"/>
      <name val="TH SarabunPSK"/>
      <family val="2"/>
    </font>
    <font>
      <b/>
      <sz val="14"/>
      <color theme="1"/>
      <name val="TH SarabunPSK"/>
      <family val="2"/>
    </font>
    <font>
      <b/>
      <sz val="16"/>
      <color rgb="FF0000CC"/>
      <name val="TH SarabunPSK"/>
      <family val="2"/>
    </font>
    <font>
      <b/>
      <sz val="16"/>
      <color rgb="FFC00000"/>
      <name val="TH SarabunPSK"/>
      <family val="2"/>
    </font>
    <font>
      <b/>
      <sz val="16"/>
      <color rgb="FF660066"/>
      <name val="TH SarabunPSK"/>
      <family val="2"/>
    </font>
    <font>
      <b/>
      <sz val="11"/>
      <color rgb="FFC00000"/>
      <name val="TH SarabunPSK"/>
      <family val="2"/>
    </font>
    <font>
      <b/>
      <sz val="20"/>
      <color indexed="81"/>
      <name val="TH SarabunPSK"/>
      <family val="2"/>
    </font>
    <font>
      <b/>
      <sz val="20"/>
      <color indexed="18"/>
      <name val="TH SarabunPSK"/>
      <family val="2"/>
    </font>
    <font>
      <b/>
      <sz val="20"/>
      <color indexed="10"/>
      <name val="TH SarabunPSK"/>
      <family val="2"/>
    </font>
    <font>
      <b/>
      <sz val="20"/>
      <color indexed="17"/>
      <name val="TH SarabunPSK"/>
      <family val="2"/>
    </font>
    <font>
      <b/>
      <sz val="18"/>
      <color theme="9" tint="-0.499984740745262"/>
      <name val="TH SarabunPSK"/>
      <family val="2"/>
    </font>
    <font>
      <b/>
      <sz val="16"/>
      <color theme="9" tint="-0.499984740745262"/>
      <name val="TH SarabunPSK"/>
      <family val="2"/>
    </font>
    <font>
      <b/>
      <sz val="22"/>
      <color rgb="FF0000CC"/>
      <name val="TH SarabunPSK"/>
      <family val="2"/>
    </font>
    <font>
      <b/>
      <sz val="22"/>
      <color theme="5" tint="-0.499984740745262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b/>
      <sz val="24"/>
      <color rgb="FF000000"/>
      <name val="TH SarabunPSK"/>
      <family val="2"/>
    </font>
    <font>
      <sz val="18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8" tint="-0.249977111117893"/>
      <name val="TH SarabunPSK"/>
      <family val="2"/>
    </font>
    <font>
      <b/>
      <u/>
      <sz val="22"/>
      <color indexed="81"/>
      <name val="TH SarabunPSK"/>
      <family val="2"/>
    </font>
    <font>
      <b/>
      <sz val="11"/>
      <color theme="1"/>
      <name val="TH SarabunPSK"/>
      <family val="2"/>
    </font>
    <font>
      <b/>
      <sz val="17"/>
      <color indexed="81"/>
      <name val="TH SarabunPSK"/>
      <family val="2"/>
    </font>
    <font>
      <b/>
      <sz val="8"/>
      <color indexed="81"/>
      <name val="TH SarabunPSK"/>
      <family val="2"/>
    </font>
    <font>
      <b/>
      <sz val="12"/>
      <name val="TH SarabunPSK"/>
      <family val="2"/>
    </font>
    <font>
      <b/>
      <sz val="18"/>
      <color theme="1"/>
      <name val="TH SarabunPSK"/>
      <family val="2"/>
    </font>
    <font>
      <b/>
      <sz val="19"/>
      <color theme="1"/>
      <name val="TH SarabunPSK"/>
      <family val="2"/>
    </font>
  </fonts>
  <fills count="4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FFC7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CECE8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EFEE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rgb="FFEAE1EB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rgb="FFFFE1F6"/>
        <bgColor indexed="64"/>
      </patternFill>
    </fill>
    <fill>
      <patternFill patternType="solid">
        <fgColor rgb="FF8BFF8B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3EBF9"/>
        <bgColor indexed="64"/>
      </patternFill>
    </fill>
    <fill>
      <patternFill patternType="solid">
        <fgColor rgb="FFF8FEB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0000"/>
      </left>
      <right/>
      <top/>
      <bottom style="medium">
        <color rgb="FFFF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4">
    <xf numFmtId="0" fontId="0" fillId="0" borderId="0" xfId="0"/>
    <xf numFmtId="0" fontId="3" fillId="3" borderId="1" xfId="0" applyFont="1" applyFill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2" fillId="0" borderId="0" xfId="0" applyFont="1" applyFill="1" applyBorder="1" applyProtection="1">
      <protection hidden="1"/>
    </xf>
    <xf numFmtId="188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9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10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11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hidden="1"/>
    </xf>
    <xf numFmtId="0" fontId="13" fillId="3" borderId="2" xfId="0" applyFont="1" applyFill="1" applyBorder="1" applyAlignment="1" applyProtection="1">
      <alignment horizontal="left" vertical="center"/>
      <protection hidden="1"/>
    </xf>
    <xf numFmtId="188" fontId="7" fillId="13" borderId="5" xfId="0" applyNumberFormat="1" applyFont="1" applyFill="1" applyBorder="1" applyAlignment="1" applyProtection="1">
      <alignment horizontal="center" vertical="center" wrapText="1"/>
      <protection locked="0"/>
    </xf>
    <xf numFmtId="188" fontId="7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2" fontId="10" fillId="0" borderId="0" xfId="0" applyNumberFormat="1" applyFont="1" applyFill="1" applyBorder="1" applyAlignment="1" applyProtection="1">
      <alignment vertical="center"/>
      <protection hidden="1"/>
    </xf>
    <xf numFmtId="4" fontId="10" fillId="0" borderId="0" xfId="0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88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7" fillId="18" borderId="1" xfId="0" applyFont="1" applyFill="1" applyBorder="1" applyAlignment="1" applyProtection="1">
      <alignment wrapText="1"/>
      <protection hidden="1"/>
    </xf>
    <xf numFmtId="18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11" fillId="21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right" vertical="top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26" fillId="0" borderId="0" xfId="0" applyFont="1" applyProtection="1">
      <protection hidden="1"/>
    </xf>
    <xf numFmtId="0" fontId="28" fillId="24" borderId="27" xfId="0" applyFont="1" applyFill="1" applyBorder="1" applyAlignment="1" applyProtection="1">
      <alignment horizontal="center" vertical="center" wrapText="1" readingOrder="1"/>
      <protection hidden="1"/>
    </xf>
    <xf numFmtId="2" fontId="28" fillId="24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4" borderId="27" xfId="0" applyNumberFormat="1" applyFont="1" applyFill="1" applyBorder="1" applyAlignment="1" applyProtection="1">
      <alignment horizontal="center" vertical="center" wrapText="1"/>
      <protection hidden="1"/>
    </xf>
    <xf numFmtId="0" fontId="28" fillId="25" borderId="27" xfId="0" applyFont="1" applyFill="1" applyBorder="1" applyAlignment="1" applyProtection="1">
      <alignment horizontal="center" vertical="center" wrapText="1" readingOrder="1"/>
      <protection hidden="1"/>
    </xf>
    <xf numFmtId="2" fontId="4" fillId="25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28" fillId="25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5" borderId="27" xfId="0" applyNumberFormat="1" applyFont="1" applyFill="1" applyBorder="1" applyAlignment="1" applyProtection="1">
      <alignment horizontal="center" vertical="center" wrapText="1"/>
      <protection hidden="1"/>
    </xf>
    <xf numFmtId="0" fontId="28" fillId="26" borderId="27" xfId="0" applyFont="1" applyFill="1" applyBorder="1" applyAlignment="1" applyProtection="1">
      <alignment horizontal="center" vertical="center" wrapText="1" readingOrder="1"/>
      <protection hidden="1"/>
    </xf>
    <xf numFmtId="2" fontId="4" fillId="26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6" borderId="27" xfId="0" applyNumberFormat="1" applyFont="1" applyFill="1" applyBorder="1" applyAlignment="1" applyProtection="1">
      <alignment horizontal="center" vertical="center" wrapText="1"/>
      <protection hidden="1"/>
    </xf>
    <xf numFmtId="0" fontId="28" fillId="27" borderId="27" xfId="0" applyFont="1" applyFill="1" applyBorder="1" applyAlignment="1" applyProtection="1">
      <alignment horizontal="center" vertical="center" wrapText="1" readingOrder="1"/>
      <protection hidden="1"/>
    </xf>
    <xf numFmtId="2" fontId="28" fillId="27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7" borderId="27" xfId="0" applyNumberFormat="1" applyFont="1" applyFill="1" applyBorder="1" applyAlignment="1" applyProtection="1">
      <alignment horizontal="center" vertical="center" readingOrder="1"/>
      <protection hidden="1"/>
    </xf>
    <xf numFmtId="2" fontId="4" fillId="27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7" borderId="27" xfId="0" applyNumberFormat="1" applyFont="1" applyFill="1" applyBorder="1" applyAlignment="1" applyProtection="1">
      <alignment horizontal="center" vertical="center" wrapText="1"/>
      <protection hidden="1"/>
    </xf>
    <xf numFmtId="2" fontId="4" fillId="24" borderId="27" xfId="0" applyNumberFormat="1" applyFont="1" applyFill="1" applyBorder="1" applyAlignment="1" applyProtection="1">
      <alignment horizontal="center" vertical="center" wrapText="1" readingOrder="1"/>
      <protection hidden="1"/>
    </xf>
    <xf numFmtId="0" fontId="28" fillId="28" borderId="27" xfId="0" applyFont="1" applyFill="1" applyBorder="1" applyAlignment="1" applyProtection="1">
      <alignment horizontal="center" vertical="center" wrapText="1" readingOrder="1"/>
      <protection hidden="1"/>
    </xf>
    <xf numFmtId="0" fontId="29" fillId="28" borderId="27" xfId="0" applyFont="1" applyFill="1" applyBorder="1" applyAlignment="1" applyProtection="1">
      <alignment horizontal="center" vertical="top" wrapText="1"/>
      <protection hidden="1"/>
    </xf>
    <xf numFmtId="2" fontId="28" fillId="29" borderId="27" xfId="0" applyNumberFormat="1" applyFont="1" applyFill="1" applyBorder="1" applyAlignment="1" applyProtection="1">
      <alignment horizontal="center" vertical="center" wrapText="1" readingOrder="1"/>
      <protection hidden="1"/>
    </xf>
    <xf numFmtId="2" fontId="4" fillId="29" borderId="27" xfId="0" applyNumberFormat="1" applyFont="1" applyFill="1" applyBorder="1" applyAlignment="1" applyProtection="1">
      <alignment horizontal="center" vertical="top" wrapText="1"/>
      <protection hidden="1"/>
    </xf>
    <xf numFmtId="2" fontId="0" fillId="0" borderId="0" xfId="0" applyNumberFormat="1" applyProtection="1">
      <protection hidden="1"/>
    </xf>
    <xf numFmtId="0" fontId="31" fillId="30" borderId="27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Protection="1">
      <protection hidden="1"/>
    </xf>
    <xf numFmtId="1" fontId="7" fillId="31" borderId="6" xfId="0" applyNumberFormat="1" applyFont="1" applyFill="1" applyBorder="1" applyAlignment="1" applyProtection="1">
      <alignment horizontal="center" vertical="center" wrapText="1"/>
      <protection hidden="1"/>
    </xf>
    <xf numFmtId="188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left" vertical="center"/>
      <protection hidden="1"/>
    </xf>
    <xf numFmtId="188" fontId="7" fillId="13" borderId="4" xfId="0" applyNumberFormat="1" applyFont="1" applyFill="1" applyBorder="1" applyAlignment="1" applyProtection="1">
      <alignment horizontal="center" vertical="center" wrapText="1"/>
      <protection locked="0"/>
    </xf>
    <xf numFmtId="188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188" fontId="7" fillId="9" borderId="4" xfId="0" applyNumberFormat="1" applyFont="1" applyFill="1" applyBorder="1" applyAlignment="1" applyProtection="1">
      <alignment horizontal="center" vertical="center" wrapText="1"/>
      <protection locked="0"/>
    </xf>
    <xf numFmtId="188" fontId="7" fillId="10" borderId="4" xfId="0" applyNumberFormat="1" applyFont="1" applyFill="1" applyBorder="1" applyAlignment="1" applyProtection="1">
      <alignment horizontal="center" vertical="center" wrapText="1"/>
      <protection locked="0"/>
    </xf>
    <xf numFmtId="188" fontId="7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32" borderId="3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  <protection hidden="1"/>
    </xf>
    <xf numFmtId="188" fontId="7" fillId="33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32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34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35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3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top"/>
      <protection hidden="1"/>
    </xf>
    <xf numFmtId="0" fontId="7" fillId="0" borderId="1" xfId="0" applyFont="1" applyBorder="1" applyAlignment="1" applyProtection="1">
      <alignment vertical="top"/>
      <protection hidden="1"/>
    </xf>
    <xf numFmtId="0" fontId="7" fillId="16" borderId="1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vertical="center"/>
      <protection hidden="1"/>
    </xf>
    <xf numFmtId="0" fontId="7" fillId="17" borderId="1" xfId="0" applyFont="1" applyFill="1" applyBorder="1" applyAlignment="1" applyProtection="1">
      <alignment vertical="center"/>
      <protection hidden="1"/>
    </xf>
    <xf numFmtId="0" fontId="10" fillId="17" borderId="1" xfId="0" applyFont="1" applyFill="1" applyBorder="1" applyAlignment="1" applyProtection="1">
      <alignment vertical="center"/>
      <protection hidden="1"/>
    </xf>
    <xf numFmtId="0" fontId="7" fillId="18" borderId="1" xfId="0" applyFont="1" applyFill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89" fontId="10" fillId="0" borderId="0" xfId="1" applyNumberFormat="1" applyFont="1" applyFill="1" applyBorder="1" applyAlignment="1" applyProtection="1">
      <alignment vertical="center" wrapText="1"/>
      <protection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189" fontId="7" fillId="0" borderId="0" xfId="0" applyNumberFormat="1" applyFont="1" applyFill="1" applyBorder="1" applyAlignment="1" applyProtection="1">
      <alignment horizontal="center" vertical="center"/>
      <protection hidden="1"/>
    </xf>
    <xf numFmtId="4" fontId="10" fillId="0" borderId="0" xfId="1" applyNumberFormat="1" applyFont="1" applyFill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35" borderId="2" xfId="0" applyFont="1" applyFill="1" applyBorder="1" applyAlignment="1" applyProtection="1">
      <alignment horizontal="left" vertical="center"/>
      <protection hidden="1"/>
    </xf>
    <xf numFmtId="0" fontId="7" fillId="12" borderId="2" xfId="0" applyFont="1" applyFill="1" applyBorder="1" applyAlignment="1" applyProtection="1">
      <alignment horizontal="left" vertical="center"/>
      <protection hidden="1"/>
    </xf>
    <xf numFmtId="0" fontId="7" fillId="12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14" borderId="2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9" fillId="24" borderId="27" xfId="0" applyFont="1" applyFill="1" applyBorder="1" applyAlignment="1" applyProtection="1">
      <alignment vertical="center" wrapText="1"/>
      <protection hidden="1"/>
    </xf>
    <xf numFmtId="2" fontId="9" fillId="25" borderId="27" xfId="0" applyNumberFormat="1" applyFont="1" applyFill="1" applyBorder="1" applyAlignment="1" applyProtection="1">
      <alignment horizontal="left" vertical="center"/>
      <protection hidden="1"/>
    </xf>
    <xf numFmtId="2" fontId="9" fillId="26" borderId="27" xfId="0" applyNumberFormat="1" applyFont="1" applyFill="1" applyBorder="1" applyAlignment="1" applyProtection="1">
      <alignment horizontal="left" vertical="center" wrapText="1"/>
      <protection hidden="1"/>
    </xf>
    <xf numFmtId="2" fontId="9" fillId="27" borderId="27" xfId="0" applyNumberFormat="1" applyFont="1" applyFill="1" applyBorder="1" applyAlignment="1" applyProtection="1">
      <alignment horizontal="left" vertical="center" wrapText="1"/>
      <protection hidden="1"/>
    </xf>
    <xf numFmtId="2" fontId="9" fillId="24" borderId="27" xfId="0" applyNumberFormat="1" applyFont="1" applyFill="1" applyBorder="1" applyAlignment="1" applyProtection="1">
      <alignment horizontal="left" vertical="center" wrapText="1"/>
      <protection hidden="1"/>
    </xf>
    <xf numFmtId="0" fontId="31" fillId="28" borderId="27" xfId="0" applyFont="1" applyFill="1" applyBorder="1" applyAlignment="1" applyProtection="1">
      <alignment horizontal="center" vertical="top" wrapText="1"/>
      <protection hidden="1"/>
    </xf>
    <xf numFmtId="2" fontId="9" fillId="29" borderId="27" xfId="0" applyNumberFormat="1" applyFont="1" applyFill="1" applyBorder="1" applyAlignment="1" applyProtection="1">
      <alignment horizontal="left" vertical="top" wrapText="1"/>
      <protection hidden="1"/>
    </xf>
    <xf numFmtId="0" fontId="9" fillId="38" borderId="17" xfId="0" applyFont="1" applyFill="1" applyBorder="1" applyAlignment="1" applyProtection="1">
      <alignment horizontal="center" vertical="center" wrapText="1" readingOrder="1"/>
      <protection hidden="1"/>
    </xf>
    <xf numFmtId="0" fontId="38" fillId="38" borderId="18" xfId="0" applyFont="1" applyFill="1" applyBorder="1" applyAlignment="1" applyProtection="1">
      <alignment horizontal="left" vertical="center" readingOrder="1"/>
      <protection hidden="1"/>
    </xf>
    <xf numFmtId="0" fontId="38" fillId="38" borderId="19" xfId="0" applyFont="1" applyFill="1" applyBorder="1" applyAlignment="1" applyProtection="1">
      <alignment horizontal="left" vertical="center" readingOrder="1"/>
      <protection hidden="1"/>
    </xf>
    <xf numFmtId="0" fontId="10" fillId="39" borderId="27" xfId="0" applyFont="1" applyFill="1" applyBorder="1" applyAlignment="1" applyProtection="1">
      <alignment horizontal="center" vertical="top" wrapText="1"/>
      <protection hidden="1"/>
    </xf>
    <xf numFmtId="0" fontId="31" fillId="39" borderId="27" xfId="0" applyFont="1" applyFill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/>
      <protection hidden="1"/>
    </xf>
    <xf numFmtId="1" fontId="7" fillId="12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14" borderId="12" xfId="0" applyNumberFormat="1" applyFont="1" applyFill="1" applyBorder="1" applyAlignment="1" applyProtection="1">
      <alignment horizontal="center" vertical="center" wrapText="1"/>
      <protection locked="0"/>
    </xf>
    <xf numFmtId="188" fontId="7" fillId="38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40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41" borderId="2" xfId="0" applyNumberFormat="1" applyFont="1" applyFill="1" applyBorder="1" applyAlignment="1" applyProtection="1">
      <alignment horizontal="center" vertical="center" wrapText="1"/>
      <protection locked="0"/>
    </xf>
    <xf numFmtId="1" fontId="39" fillId="37" borderId="2" xfId="0" applyNumberFormat="1" applyFont="1" applyFill="1" applyBorder="1" applyAlignment="1" applyProtection="1">
      <alignment horizontal="center" vertical="center" wrapText="1"/>
      <protection locked="0"/>
    </xf>
    <xf numFmtId="188" fontId="7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188" fontId="7" fillId="4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top" wrapText="1"/>
      <protection hidden="1"/>
    </xf>
    <xf numFmtId="0" fontId="35" fillId="0" borderId="12" xfId="0" applyFont="1" applyBorder="1" applyAlignment="1" applyProtection="1"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40" fillId="36" borderId="6" xfId="0" applyFont="1" applyFill="1" applyBorder="1" applyAlignment="1" applyProtection="1">
      <alignment horizontal="left"/>
      <protection hidden="1"/>
    </xf>
    <xf numFmtId="0" fontId="40" fillId="36" borderId="7" xfId="0" applyFont="1" applyFill="1" applyBorder="1" applyAlignment="1" applyProtection="1">
      <alignment horizontal="left"/>
      <protection hidden="1"/>
    </xf>
    <xf numFmtId="0" fontId="40" fillId="36" borderId="8" xfId="0" applyFont="1" applyFill="1" applyBorder="1" applyAlignment="1" applyProtection="1">
      <alignment horizontal="left"/>
      <protection hidden="1"/>
    </xf>
    <xf numFmtId="188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188" fontId="7" fillId="0" borderId="7" xfId="0" applyNumberFormat="1" applyFont="1" applyFill="1" applyBorder="1" applyAlignment="1" applyProtection="1">
      <alignment horizontal="center" vertical="center" wrapText="1"/>
      <protection hidden="1"/>
    </xf>
    <xf numFmtId="188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20" borderId="2" xfId="0" applyFont="1" applyFill="1" applyBorder="1" applyAlignment="1" applyProtection="1">
      <alignment horizontal="center" vertical="top" wrapText="1"/>
      <protection hidden="1"/>
    </xf>
    <xf numFmtId="0" fontId="2" fillId="20" borderId="2" xfId="0" applyFont="1" applyFill="1" applyBorder="1" applyAlignment="1" applyProtection="1">
      <alignment horizontal="center" vertical="top"/>
      <protection hidden="1"/>
    </xf>
    <xf numFmtId="0" fontId="12" fillId="22" borderId="9" xfId="0" applyFont="1" applyFill="1" applyBorder="1" applyAlignment="1" applyProtection="1">
      <alignment horizontal="center" vertical="top"/>
      <protection hidden="1"/>
    </xf>
    <xf numFmtId="0" fontId="12" fillId="22" borderId="10" xfId="0" applyFont="1" applyFill="1" applyBorder="1" applyAlignment="1" applyProtection="1">
      <alignment horizontal="center" vertical="top"/>
      <protection hidden="1"/>
    </xf>
    <xf numFmtId="0" fontId="12" fillId="22" borderId="11" xfId="0" applyFont="1" applyFill="1" applyBorder="1" applyAlignment="1" applyProtection="1">
      <alignment horizontal="center" vertical="top"/>
      <protection hidden="1"/>
    </xf>
    <xf numFmtId="0" fontId="12" fillId="22" borderId="13" xfId="0" applyFont="1" applyFill="1" applyBorder="1" applyAlignment="1" applyProtection="1">
      <alignment horizontal="center"/>
      <protection hidden="1"/>
    </xf>
    <xf numFmtId="0" fontId="12" fillId="22" borderId="14" xfId="0" applyFont="1" applyFill="1" applyBorder="1" applyAlignment="1" applyProtection="1">
      <alignment horizontal="center"/>
      <protection hidden="1"/>
    </xf>
    <xf numFmtId="0" fontId="12" fillId="22" borderId="15" xfId="0" applyFont="1" applyFill="1" applyBorder="1" applyAlignment="1" applyProtection="1">
      <alignment horizontal="center"/>
      <protection hidden="1"/>
    </xf>
    <xf numFmtId="188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2" fontId="7" fillId="0" borderId="12" xfId="0" applyNumberFormat="1" applyFont="1" applyBorder="1" applyAlignment="1" applyProtection="1">
      <alignment horizontal="center" vertical="center"/>
      <protection hidden="1"/>
    </xf>
    <xf numFmtId="2" fontId="11" fillId="0" borderId="4" xfId="0" applyNumberFormat="1" applyFont="1" applyBorder="1" applyAlignment="1" applyProtection="1">
      <alignment horizontal="center" vertical="center"/>
      <protection hidden="1"/>
    </xf>
    <xf numFmtId="2" fontId="11" fillId="0" borderId="5" xfId="0" applyNumberFormat="1" applyFont="1" applyBorder="1" applyAlignment="1" applyProtection="1">
      <alignment horizontal="center" vertical="center"/>
      <protection hidden="1"/>
    </xf>
    <xf numFmtId="2" fontId="11" fillId="0" borderId="12" xfId="0" applyNumberFormat="1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14" fillId="0" borderId="6" xfId="0" applyFont="1" applyFill="1" applyBorder="1" applyAlignment="1" applyProtection="1">
      <alignment horizontal="left" vertical="center"/>
      <protection hidden="1"/>
    </xf>
    <xf numFmtId="0" fontId="14" fillId="0" borderId="7" xfId="0" applyFont="1" applyFill="1" applyBorder="1" applyAlignment="1" applyProtection="1">
      <alignment horizontal="left" vertical="center"/>
      <protection hidden="1"/>
    </xf>
    <xf numFmtId="0" fontId="14" fillId="0" borderId="8" xfId="0" applyFont="1" applyFill="1" applyBorder="1" applyAlignment="1" applyProtection="1">
      <alignment horizontal="left" vertical="center"/>
      <protection hidden="1"/>
    </xf>
    <xf numFmtId="188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88" fontId="35" fillId="0" borderId="2" xfId="0" applyNumberFormat="1" applyFont="1" applyBorder="1" applyAlignment="1" applyProtection="1">
      <protection locked="0"/>
    </xf>
    <xf numFmtId="0" fontId="7" fillId="0" borderId="2" xfId="0" applyFont="1" applyBorder="1" applyAlignment="1" applyProtection="1">
      <alignment horizontal="right" vertical="center"/>
      <protection hidden="1"/>
    </xf>
    <xf numFmtId="0" fontId="35" fillId="0" borderId="2" xfId="0" applyFont="1" applyBorder="1" applyAlignment="1" applyProtection="1">
      <protection hidden="1"/>
    </xf>
    <xf numFmtId="2" fontId="7" fillId="0" borderId="2" xfId="0" applyNumberFormat="1" applyFont="1" applyBorder="1" applyAlignment="1" applyProtection="1">
      <alignment horizontal="center" vertical="center"/>
      <protection hidden="1"/>
    </xf>
    <xf numFmtId="2" fontId="11" fillId="0" borderId="2" xfId="0" applyNumberFormat="1" applyFont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17" fillId="13" borderId="2" xfId="0" applyFont="1" applyFill="1" applyBorder="1" applyAlignment="1" applyProtection="1">
      <alignment vertical="center"/>
      <protection hidden="1"/>
    </xf>
    <xf numFmtId="0" fontId="19" fillId="13" borderId="2" xfId="0" applyFont="1" applyFill="1" applyBorder="1" applyAlignment="1" applyProtection="1">
      <alignment vertical="center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protection locked="0"/>
    </xf>
    <xf numFmtId="0" fontId="17" fillId="19" borderId="2" xfId="0" applyFont="1" applyFill="1" applyBorder="1" applyAlignment="1" applyProtection="1">
      <alignment vertical="center"/>
      <protection hidden="1"/>
    </xf>
    <xf numFmtId="0" fontId="17" fillId="17" borderId="2" xfId="0" applyFont="1" applyFill="1" applyBorder="1" applyAlignment="1" applyProtection="1">
      <alignment vertical="center"/>
      <protection hidden="1"/>
    </xf>
    <xf numFmtId="0" fontId="19" fillId="17" borderId="2" xfId="0" applyFont="1" applyFill="1" applyBorder="1" applyAlignment="1" applyProtection="1">
      <alignment vertical="center"/>
      <protection hidden="1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2" xfId="0" applyNumberFormat="1" applyFont="1" applyBorder="1" applyAlignment="1" applyProtection="1">
      <protection locked="0"/>
    </xf>
    <xf numFmtId="0" fontId="35" fillId="0" borderId="2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left" vertical="center"/>
      <protection hidden="1"/>
    </xf>
    <xf numFmtId="0" fontId="14" fillId="0" borderId="7" xfId="0" applyFont="1" applyBorder="1" applyAlignment="1" applyProtection="1">
      <alignment horizontal="left" vertical="center"/>
      <protection hidden="1"/>
    </xf>
    <xf numFmtId="0" fontId="14" fillId="0" borderId="8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vertical="top" wrapText="1"/>
      <protection hidden="1"/>
    </xf>
    <xf numFmtId="2" fontId="9" fillId="15" borderId="2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 vertical="center"/>
      <protection hidden="1"/>
    </xf>
    <xf numFmtId="0" fontId="7" fillId="0" borderId="14" xfId="0" applyFont="1" applyBorder="1" applyAlignment="1" applyProtection="1">
      <alignment horizontal="right" vertical="center"/>
      <protection hidden="1"/>
    </xf>
    <xf numFmtId="2" fontId="7" fillId="0" borderId="10" xfId="0" applyNumberFormat="1" applyFont="1" applyBorder="1" applyAlignment="1" applyProtection="1">
      <alignment horizontal="center" vertical="center" wrapText="1"/>
      <protection hidden="1"/>
    </xf>
    <xf numFmtId="2" fontId="7" fillId="0" borderId="11" xfId="0" applyNumberFormat="1" applyFont="1" applyBorder="1" applyAlignment="1" applyProtection="1">
      <alignment horizontal="center" vertical="center" wrapText="1"/>
      <protection hidden="1"/>
    </xf>
    <xf numFmtId="2" fontId="7" fillId="0" borderId="14" xfId="0" applyNumberFormat="1" applyFont="1" applyBorder="1" applyAlignment="1" applyProtection="1">
      <alignment horizontal="center" vertical="center" wrapText="1"/>
      <protection hidden="1"/>
    </xf>
    <xf numFmtId="2" fontId="7" fillId="0" borderId="15" xfId="0" applyNumberFormat="1" applyFont="1" applyBorder="1" applyAlignment="1" applyProtection="1">
      <alignment horizontal="center" vertical="center" wrapText="1"/>
      <protection hidden="1"/>
    </xf>
    <xf numFmtId="2" fontId="8" fillId="15" borderId="4" xfId="0" applyNumberFormat="1" applyFont="1" applyFill="1" applyBorder="1" applyAlignment="1" applyProtection="1">
      <alignment horizontal="center" vertical="center" wrapText="1"/>
      <protection hidden="1"/>
    </xf>
    <xf numFmtId="2" fontId="8" fillId="15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15" borderId="2" xfId="1" applyNumberFormat="1" applyFont="1" applyFill="1" applyBorder="1" applyAlignment="1" applyProtection="1">
      <alignment horizontal="center" vertical="top"/>
      <protection locked="0"/>
    </xf>
    <xf numFmtId="4" fontId="9" fillId="15" borderId="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vertical="top" wrapText="1"/>
      <protection hidden="1"/>
    </xf>
    <xf numFmtId="0" fontId="10" fillId="0" borderId="12" xfId="0" applyFont="1" applyBorder="1" applyAlignment="1" applyProtection="1">
      <alignment vertical="top" wrapText="1"/>
      <protection hidden="1"/>
    </xf>
    <xf numFmtId="2" fontId="7" fillId="0" borderId="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vertical="top" wrapText="1"/>
      <protection hidden="1"/>
    </xf>
    <xf numFmtId="1" fontId="7" fillId="0" borderId="9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2" fontId="11" fillId="0" borderId="11" xfId="0" applyNumberFormat="1" applyFont="1" applyBorder="1" applyAlignment="1" applyProtection="1">
      <alignment horizontal="center" vertical="center" wrapText="1"/>
      <protection hidden="1"/>
    </xf>
    <xf numFmtId="2" fontId="11" fillId="0" borderId="15" xfId="0" applyNumberFormat="1" applyFont="1" applyBorder="1" applyAlignment="1" applyProtection="1">
      <alignment horizontal="center" vertical="center" wrapText="1"/>
      <protection hidden="1"/>
    </xf>
    <xf numFmtId="188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4" fontId="9" fillId="15" borderId="6" xfId="0" applyNumberFormat="1" applyFont="1" applyFill="1" applyBorder="1" applyAlignment="1" applyProtection="1">
      <alignment horizontal="center"/>
      <protection locked="0"/>
    </xf>
    <xf numFmtId="4" fontId="9" fillId="15" borderId="7" xfId="0" applyNumberFormat="1" applyFont="1" applyFill="1" applyBorder="1" applyAlignment="1" applyProtection="1">
      <alignment horizontal="center"/>
      <protection locked="0"/>
    </xf>
    <xf numFmtId="4" fontId="9" fillId="15" borderId="8" xfId="0" applyNumberFormat="1" applyFont="1" applyFill="1" applyBorder="1" applyAlignment="1" applyProtection="1">
      <alignment horizontal="center"/>
      <protection locked="0"/>
    </xf>
    <xf numFmtId="0" fontId="9" fillId="15" borderId="6" xfId="0" applyNumberFormat="1" applyFont="1" applyFill="1" applyBorder="1" applyAlignment="1" applyProtection="1">
      <alignment horizontal="center" vertical="top"/>
      <protection locked="0"/>
    </xf>
    <xf numFmtId="0" fontId="9" fillId="15" borderId="7" xfId="0" applyNumberFormat="1" applyFont="1" applyFill="1" applyBorder="1" applyAlignment="1" applyProtection="1">
      <alignment horizontal="center" vertical="top"/>
      <protection locked="0"/>
    </xf>
    <xf numFmtId="0" fontId="9" fillId="15" borderId="8" xfId="0" applyNumberFormat="1" applyFont="1" applyFill="1" applyBorder="1" applyAlignment="1" applyProtection="1">
      <alignment horizontal="center" vertical="top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15" borderId="2" xfId="1" applyNumberFormat="1" applyFont="1" applyFill="1" applyBorder="1" applyAlignment="1" applyProtection="1">
      <alignment horizontal="center"/>
      <protection locked="0"/>
    </xf>
    <xf numFmtId="1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39" borderId="28" xfId="0" applyFont="1" applyFill="1" applyBorder="1" applyAlignment="1" applyProtection="1">
      <alignment horizontal="center" vertical="center" wrapText="1" readingOrder="1"/>
      <protection hidden="1"/>
    </xf>
    <xf numFmtId="0" fontId="30" fillId="39" borderId="29" xfId="0" applyFont="1" applyFill="1" applyBorder="1" applyAlignment="1" applyProtection="1">
      <alignment horizontal="center" vertical="center" wrapText="1" readingOrder="1"/>
      <protection hidden="1"/>
    </xf>
    <xf numFmtId="0" fontId="28" fillId="23" borderId="20" xfId="0" applyFont="1" applyFill="1" applyBorder="1" applyAlignment="1" applyProtection="1">
      <alignment horizontal="center" vertical="center" wrapText="1" readingOrder="1"/>
      <protection hidden="1"/>
    </xf>
    <xf numFmtId="0" fontId="28" fillId="23" borderId="24" xfId="0" applyFont="1" applyFill="1" applyBorder="1" applyAlignment="1" applyProtection="1">
      <alignment horizontal="center" vertical="center" wrapText="1" readingOrder="1"/>
      <protection hidden="1"/>
    </xf>
    <xf numFmtId="0" fontId="32" fillId="23" borderId="20" xfId="0" applyFont="1" applyFill="1" applyBorder="1" applyAlignment="1" applyProtection="1">
      <alignment horizontal="center" vertical="center" readingOrder="1"/>
      <protection hidden="1"/>
    </xf>
    <xf numFmtId="0" fontId="32" fillId="23" borderId="24" xfId="0" applyFont="1" applyFill="1" applyBorder="1" applyAlignment="1" applyProtection="1">
      <alignment horizontal="center" vertical="center" readingOrder="1"/>
      <protection hidden="1"/>
    </xf>
    <xf numFmtId="0" fontId="5" fillId="23" borderId="21" xfId="0" applyFont="1" applyFill="1" applyBorder="1" applyAlignment="1" applyProtection="1">
      <alignment horizontal="center" vertical="center" readingOrder="1"/>
      <protection hidden="1"/>
    </xf>
    <xf numFmtId="0" fontId="5" fillId="23" borderId="22" xfId="0" applyFont="1" applyFill="1" applyBorder="1" applyAlignment="1" applyProtection="1">
      <alignment horizontal="center" vertical="center" readingOrder="1"/>
      <protection hidden="1"/>
    </xf>
    <xf numFmtId="0" fontId="5" fillId="23" borderId="23" xfId="0" applyFont="1" applyFill="1" applyBorder="1" applyAlignment="1" applyProtection="1">
      <alignment horizontal="center" vertical="center" readingOrder="1"/>
      <protection hidden="1"/>
    </xf>
    <xf numFmtId="0" fontId="5" fillId="23" borderId="25" xfId="0" applyFont="1" applyFill="1" applyBorder="1" applyAlignment="1" applyProtection="1">
      <alignment horizontal="center" vertical="center" readingOrder="1"/>
      <protection hidden="1"/>
    </xf>
    <xf numFmtId="0" fontId="5" fillId="23" borderId="16" xfId="0" applyFont="1" applyFill="1" applyBorder="1" applyAlignment="1" applyProtection="1">
      <alignment horizontal="center" vertical="center" readingOrder="1"/>
      <protection hidden="1"/>
    </xf>
    <xf numFmtId="0" fontId="5" fillId="23" borderId="26" xfId="0" applyFont="1" applyFill="1" applyBorder="1" applyAlignment="1" applyProtection="1">
      <alignment horizontal="center" vertical="center" readingOrder="1"/>
      <protection hidden="1"/>
    </xf>
    <xf numFmtId="0" fontId="29" fillId="23" borderId="20" xfId="0" applyFont="1" applyFill="1" applyBorder="1" applyAlignment="1" applyProtection="1">
      <alignment vertical="top" wrapText="1"/>
      <protection hidden="1"/>
    </xf>
    <xf numFmtId="0" fontId="29" fillId="23" borderId="24" xfId="0" applyFont="1" applyFill="1" applyBorder="1" applyAlignment="1" applyProtection="1">
      <alignment vertical="top" wrapText="1"/>
      <protection hidden="1"/>
    </xf>
    <xf numFmtId="0" fontId="17" fillId="23" borderId="20" xfId="0" applyFont="1" applyFill="1" applyBorder="1" applyAlignment="1" applyProtection="1">
      <alignment horizontal="center" vertical="center" wrapText="1" readingOrder="1"/>
      <protection hidden="1"/>
    </xf>
    <xf numFmtId="0" fontId="17" fillId="23" borderId="24" xfId="0" applyFont="1" applyFill="1" applyBorder="1" applyAlignment="1" applyProtection="1">
      <alignment horizontal="center" vertical="center" wrapText="1" readingOrder="1"/>
      <protection hidden="1"/>
    </xf>
    <xf numFmtId="0" fontId="28" fillId="29" borderId="28" xfId="0" applyFont="1" applyFill="1" applyBorder="1" applyAlignment="1" applyProtection="1">
      <alignment horizontal="center" vertical="center" wrapText="1" readingOrder="1"/>
      <protection hidden="1"/>
    </xf>
    <xf numFmtId="0" fontId="28" fillId="29" borderId="29" xfId="0" applyFont="1" applyFill="1" applyBorder="1" applyAlignment="1" applyProtection="1">
      <alignment horizontal="center" vertical="center" wrapText="1" readingOrder="1"/>
      <protection hidden="1"/>
    </xf>
    <xf numFmtId="0" fontId="25" fillId="2" borderId="0" xfId="0" applyFont="1" applyFill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10" fillId="38" borderId="17" xfId="0" applyFont="1" applyFill="1" applyBorder="1" applyAlignment="1" applyProtection="1">
      <alignment horizontal="center" vertical="center" wrapText="1" readingOrder="1"/>
      <protection hidden="1"/>
    </xf>
    <xf numFmtId="0" fontId="10" fillId="38" borderId="18" xfId="0" applyFont="1" applyFill="1" applyBorder="1" applyAlignment="1" applyProtection="1">
      <alignment horizontal="center" vertical="center" wrapText="1" readingOrder="1"/>
      <protection hidden="1"/>
    </xf>
    <xf numFmtId="0" fontId="10" fillId="38" borderId="19" xfId="0" applyFont="1" applyFill="1" applyBorder="1" applyAlignment="1" applyProtection="1">
      <alignment horizontal="center" vertical="center" wrapText="1" readingOrder="1"/>
      <protection hidden="1"/>
    </xf>
    <xf numFmtId="0" fontId="9" fillId="38" borderId="17" xfId="0" applyFont="1" applyFill="1" applyBorder="1" applyAlignment="1" applyProtection="1">
      <alignment horizontal="center" vertical="center" readingOrder="1"/>
      <protection hidden="1"/>
    </xf>
    <xf numFmtId="0" fontId="9" fillId="38" borderId="18" xfId="0" applyFont="1" applyFill="1" applyBorder="1" applyAlignment="1" applyProtection="1">
      <alignment horizontal="center" vertical="center" readingOrder="1"/>
      <protection hidden="1"/>
    </xf>
    <xf numFmtId="0" fontId="9" fillId="38" borderId="19" xfId="0" applyFont="1" applyFill="1" applyBorder="1" applyAlignment="1" applyProtection="1">
      <alignment horizontal="center" vertical="center" readingOrder="1"/>
      <protection hidden="1"/>
    </xf>
    <xf numFmtId="0" fontId="9" fillId="38" borderId="17" xfId="0" applyFont="1" applyFill="1" applyBorder="1" applyAlignment="1" applyProtection="1">
      <alignment horizontal="center" vertical="center" wrapText="1" readingOrder="1"/>
      <protection hidden="1"/>
    </xf>
    <xf numFmtId="0" fontId="9" fillId="38" borderId="18" xfId="0" applyFont="1" applyFill="1" applyBorder="1" applyAlignment="1" applyProtection="1">
      <alignment horizontal="center" vertical="center" wrapText="1" readingOrder="1"/>
      <protection hidden="1"/>
    </xf>
    <xf numFmtId="0" fontId="9" fillId="38" borderId="19" xfId="0" applyFont="1" applyFill="1" applyBorder="1" applyAlignment="1" applyProtection="1">
      <alignment horizontal="center" vertical="center" wrapText="1" readingOrder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  <color rgb="FFFFE1F6"/>
      <color rgb="FFFFC78F"/>
      <color rgb="FFBDFFBD"/>
      <color rgb="FFCCECFF"/>
      <color rgb="FFFFDDDD"/>
      <color rgb="FFF8FEB0"/>
      <color rgb="FF66FFFF"/>
      <color rgb="FFF3EBF9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190498</xdr:rowOff>
    </xdr:from>
    <xdr:to>
      <xdr:col>0</xdr:col>
      <xdr:colOff>1352550</xdr:colOff>
      <xdr:row>1</xdr:row>
      <xdr:rowOff>110289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09549" y="190498"/>
          <a:ext cx="1143001" cy="243641"/>
          <a:chOff x="371475" y="200024"/>
          <a:chExt cx="2752725" cy="182880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81000" y="209550"/>
            <a:ext cx="2743200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371475" y="200024"/>
            <a:ext cx="0" cy="182880"/>
          </a:xfrm>
          <a:prstGeom prst="straightConnector1">
            <a:avLst/>
          </a:prstGeom>
          <a:ln w="31750">
            <a:solidFill>
              <a:srgbClr val="FF0000"/>
            </a:solidFill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10582</xdr:colOff>
      <xdr:row>2</xdr:row>
      <xdr:rowOff>211667</xdr:rowOff>
    </xdr:from>
    <xdr:to>
      <xdr:col>4</xdr:col>
      <xdr:colOff>20319</xdr:colOff>
      <xdr:row>2</xdr:row>
      <xdr:rowOff>211667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566832" y="889000"/>
          <a:ext cx="274320" cy="0"/>
        </a:xfrm>
        <a:prstGeom prst="straightConnector1">
          <a:avLst/>
        </a:prstGeom>
        <a:ln w="31750">
          <a:solidFill>
            <a:srgbClr val="FF0000"/>
          </a:solidFill>
          <a:headEnd type="stealth" w="lg" len="lg"/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10582</xdr:colOff>
      <xdr:row>2</xdr:row>
      <xdr:rowOff>201084</xdr:rowOff>
    </xdr:from>
    <xdr:to>
      <xdr:col>2</xdr:col>
      <xdr:colOff>20318</xdr:colOff>
      <xdr:row>2</xdr:row>
      <xdr:rowOff>201084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37665" y="878417"/>
          <a:ext cx="274320" cy="0"/>
        </a:xfrm>
        <a:prstGeom prst="straightConnector1">
          <a:avLst/>
        </a:prstGeom>
        <a:ln w="3175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306308</xdr:colOff>
      <xdr:row>43</xdr:row>
      <xdr:rowOff>20043</xdr:rowOff>
    </xdr:from>
    <xdr:to>
      <xdr:col>5</xdr:col>
      <xdr:colOff>188141</xdr:colOff>
      <xdr:row>44</xdr:row>
      <xdr:rowOff>111306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06308" y="12612093"/>
          <a:ext cx="8746433" cy="383363"/>
          <a:chOff x="306308" y="12774018"/>
          <a:chExt cx="7663758" cy="386538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972048" y="13014786"/>
            <a:ext cx="2998018" cy="145770"/>
            <a:chOff x="4972048" y="13014786"/>
            <a:chExt cx="2998018" cy="145770"/>
          </a:xfrm>
        </xdr:grpSpPr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V="1">
              <a:off x="4984832" y="13023396"/>
              <a:ext cx="0" cy="13716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 flipV="1">
              <a:off x="4972048" y="13153970"/>
              <a:ext cx="2998018" cy="1"/>
            </a:xfrm>
            <a:prstGeom prst="line">
              <a:avLst/>
            </a:prstGeom>
            <a:ln w="19050">
              <a:solidFill>
                <a:srgbClr val="FF0000"/>
              </a:solidFill>
              <a:tailEnd type="non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 flipH="1" flipV="1">
              <a:off x="7951621" y="13014786"/>
              <a:ext cx="0" cy="132765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stealth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06308" y="12774018"/>
            <a:ext cx="4808619" cy="273806"/>
          </a:xfrm>
          <a:prstGeom prst="rect">
            <a:avLst/>
          </a:prstGeom>
          <a:solidFill>
            <a:srgbClr val="66FFFF"/>
          </a:solidFill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18288" rtlCol="0" anchor="t"/>
          <a:lstStyle/>
          <a:p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ต้องเติมจำนวนข้อที่ระบุในหลักสูตร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(มคอ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หมวดที่ 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ข้อ 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) 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ช่อง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 F44</a:t>
            </a:r>
          </a:p>
        </xdr:txBody>
      </xdr:sp>
    </xdr:grpSp>
    <xdr:clientData/>
  </xdr:twoCellAnchor>
  <xdr:oneCellAnchor>
    <xdr:from>
      <xdr:col>0</xdr:col>
      <xdr:colOff>314326</xdr:colOff>
      <xdr:row>10</xdr:row>
      <xdr:rowOff>285750</xdr:rowOff>
    </xdr:from>
    <xdr:ext cx="4000499" cy="27930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4326" y="3295650"/>
          <a:ext cx="4000499" cy="279307"/>
        </a:xfrm>
        <a:prstGeom prst="rect">
          <a:avLst/>
        </a:prstGeom>
        <a:solidFill>
          <a:srgbClr val="BDFFBD"/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spAutoFit/>
        </a:bodyPr>
        <a:lstStyle/>
        <a:p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ไม่ต้องประเมิน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หลักสูตรใหม่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ที่ยังไม่มีบัณฑิตในปีก่อนปีที่ประเมิน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323850</xdr:colOff>
      <xdr:row>12</xdr:row>
      <xdr:rowOff>276225</xdr:rowOff>
    </xdr:from>
    <xdr:ext cx="3981450" cy="27930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3850" y="3876675"/>
          <a:ext cx="3981450" cy="279307"/>
        </a:xfrm>
        <a:prstGeom prst="rect">
          <a:avLst/>
        </a:prstGeom>
        <a:solidFill>
          <a:srgbClr val="BDFFBD"/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spAutoFit/>
        </a:bodyPr>
        <a:lstStyle/>
        <a:p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ไม่ต้องประเมิน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หลักสูตรใหม่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ที่ยังไม่มีบัณฑิตในปีก่อนปีที่ประเมิน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323852</xdr:colOff>
      <xdr:row>14</xdr:row>
      <xdr:rowOff>276225</xdr:rowOff>
    </xdr:from>
    <xdr:ext cx="3771898" cy="27930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23852" y="4467225"/>
          <a:ext cx="3771898" cy="279307"/>
        </a:xfrm>
        <a:prstGeom prst="rect">
          <a:avLst/>
        </a:prstGeom>
        <a:solidFill>
          <a:srgbClr val="E2F9FE"/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spAutoFit/>
        </a:bodyPr>
        <a:lstStyle/>
        <a:p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ไม่ต้องประเมิน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หลักสูตรที่ไม่มีผู้สำเร็จการศึกษาในปีที่ประเมิน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323851</xdr:colOff>
      <xdr:row>16</xdr:row>
      <xdr:rowOff>276225</xdr:rowOff>
    </xdr:from>
    <xdr:ext cx="3752849" cy="27930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3851" y="5057775"/>
          <a:ext cx="3752849" cy="279307"/>
        </a:xfrm>
        <a:prstGeom prst="rect">
          <a:avLst/>
        </a:prstGeom>
        <a:solidFill>
          <a:srgbClr val="E2F9FE"/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spAutoFit/>
        </a:bodyPr>
        <a:lstStyle/>
        <a:p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ไม่ต้องประเมิน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หลักสูตรที่ไม่มีผู้สำเร็จการศึกษาในปีที่ประเมิน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324851</xdr:colOff>
      <xdr:row>6</xdr:row>
      <xdr:rowOff>271713</xdr:rowOff>
    </xdr:from>
    <xdr:ext cx="4532899" cy="26763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24851" y="2100513"/>
          <a:ext cx="4532899" cy="267637"/>
        </a:xfrm>
        <a:prstGeom prst="rect">
          <a:avLst/>
        </a:prstGeom>
        <a:solidFill>
          <a:srgbClr val="F8FEB0"/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noAutofit/>
        </a:bodyPr>
        <a:lstStyle/>
        <a:p>
          <a:r>
            <a:rPr lang="th-TH" sz="2400" b="1">
              <a:solidFill>
                <a:srgbClr val="0000CC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พ.ศ. </a:t>
          </a:r>
          <a:r>
            <a:rPr lang="en-US" sz="2400" b="1">
              <a:solidFill>
                <a:srgbClr val="0000CC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2548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เกณฑ์ข้อ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และข้อ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ถ้าไม่ได้ประเมิน ให้เคาะ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space bar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315326</xdr:colOff>
      <xdr:row>8</xdr:row>
      <xdr:rowOff>280739</xdr:rowOff>
    </xdr:from>
    <xdr:ext cx="4532899" cy="27071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5326" y="2700089"/>
          <a:ext cx="4532899" cy="2707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576" tIns="9144" rIns="36576" bIns="9144" rtlCol="0" anchor="ctr">
          <a:noAutofit/>
        </a:bodyPr>
        <a:lstStyle/>
        <a:p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พ.ศ. </a:t>
          </a:r>
          <a:r>
            <a:rPr lang="en-US" sz="24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2558</a:t>
          </a:r>
          <a:r>
            <a:rPr lang="en-US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เกณฑ์ข้อ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และข้อ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</a:t>
          </a:r>
          <a:r>
            <a:rPr lang="th-TH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ถ้าไม่ได้ประเมิน ให้เคาะ </a:t>
          </a:r>
          <a:r>
            <a:rPr lang="en-US" sz="18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space bar</a:t>
          </a:r>
          <a:endParaRPr lang="en-US" sz="18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4763057</xdr:colOff>
      <xdr:row>0</xdr:row>
      <xdr:rowOff>181031</xdr:rowOff>
    </xdr:from>
    <xdr:to>
      <xdr:col>1</xdr:col>
      <xdr:colOff>10292</xdr:colOff>
      <xdr:row>0</xdr:row>
      <xdr:rowOff>181031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763057" y="181031"/>
          <a:ext cx="280446" cy="0"/>
        </a:xfrm>
        <a:prstGeom prst="straightConnector1">
          <a:avLst/>
        </a:prstGeom>
        <a:ln w="3175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  <pageSetUpPr fitToPage="1"/>
  </sheetPr>
  <dimension ref="A1:CW49"/>
  <sheetViews>
    <sheetView showGridLines="0" tabSelected="1" zoomScaleNormal="10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defaultColWidth="9.08203125" defaultRowHeight="20.5" x14ac:dyDescent="0.45"/>
  <cols>
    <col min="1" max="1" width="99" style="36" customWidth="1"/>
    <col min="2" max="10" width="4.33203125" style="36" customWidth="1"/>
    <col min="11" max="11" width="17.83203125" style="36" customWidth="1"/>
    <col min="12" max="14" width="9.08203125" style="36" customWidth="1"/>
    <col min="15" max="16" width="9.08203125" style="36"/>
    <col min="17" max="78" width="9.08203125" style="36" customWidth="1"/>
    <col min="79" max="101" width="9.08203125" style="36" hidden="1" customWidth="1"/>
    <col min="102" max="102" width="9.08203125" style="36" customWidth="1"/>
    <col min="103" max="16384" width="9.08203125" style="36"/>
  </cols>
  <sheetData>
    <row r="1" spans="1:98" ht="25.5" x14ac:dyDescent="0.55000000000000004">
      <c r="A1" s="112" t="s">
        <v>53</v>
      </c>
      <c r="B1" s="113"/>
      <c r="C1" s="126" t="s">
        <v>60</v>
      </c>
      <c r="D1" s="127"/>
      <c r="E1" s="127"/>
      <c r="F1" s="127"/>
      <c r="G1" s="127"/>
      <c r="H1" s="127"/>
      <c r="I1" s="127"/>
      <c r="J1" s="127"/>
      <c r="K1" s="128"/>
      <c r="L1" s="13" t="str">
        <f>IF(AND(B1&lt;&gt;1,B1&lt;&gt;2),"ต้องใส่ตัวเลขแทนเกณฑ์มาตรฐานหลักสูตร พ.ศ. เป็น 1 หรือ 2","")</f>
        <v>ต้องใส่ตัวเลขแทนเกณฑ์มาตรฐานหลักสูตร พ.ศ. เป็น 1 หรือ 2</v>
      </c>
    </row>
    <row r="2" spans="1:98" ht="25.5" x14ac:dyDescent="0.5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9"/>
      <c r="L2" s="13" t="str">
        <f>IF(A2="","ต้องใส่ชื่อหลักสูตรที่ทำการประเมิน","")</f>
        <v>ต้องใส่ชื่อหลักสูตรที่ทำการประเมิน</v>
      </c>
    </row>
    <row r="3" spans="1:98" ht="25.5" x14ac:dyDescent="0.55000000000000004">
      <c r="A3" s="1" t="s">
        <v>50</v>
      </c>
      <c r="B3" s="2"/>
      <c r="C3" s="114"/>
      <c r="D3" s="84"/>
      <c r="E3" s="3" t="s">
        <v>51</v>
      </c>
      <c r="G3" s="84"/>
      <c r="H3" s="84"/>
      <c r="K3" s="85"/>
      <c r="L3" s="13" t="str">
        <f>IF(AND(C3&lt;&gt;1,C3&lt;&gt;2,C3&lt;&gt;3),"ต้องใส่ตัวเลขแทนระดับปริญญา เป็น 1, 2, หรือ 3","")</f>
        <v>ต้องใส่ตัวเลขแทนระดับปริญญา เป็น 1, 2, หรือ 3</v>
      </c>
    </row>
    <row r="4" spans="1:98" ht="23" x14ac:dyDescent="0.45">
      <c r="A4" s="190" t="s">
        <v>0</v>
      </c>
      <c r="B4" s="193" t="s">
        <v>1</v>
      </c>
      <c r="C4" s="193"/>
      <c r="D4" s="193"/>
      <c r="E4" s="193"/>
      <c r="F4" s="193"/>
      <c r="G4" s="193"/>
      <c r="H4" s="193"/>
      <c r="I4" s="193"/>
      <c r="J4" s="193"/>
      <c r="K4" s="194" t="s">
        <v>2</v>
      </c>
    </row>
    <row r="5" spans="1:98" x14ac:dyDescent="0.45">
      <c r="A5" s="191"/>
      <c r="B5" s="197" t="s">
        <v>3</v>
      </c>
      <c r="C5" s="198"/>
      <c r="D5" s="198"/>
      <c r="E5" s="198"/>
      <c r="F5" s="199"/>
      <c r="G5" s="200" t="s">
        <v>4</v>
      </c>
      <c r="H5" s="201"/>
      <c r="I5" s="201"/>
      <c r="J5" s="202"/>
      <c r="K5" s="195"/>
    </row>
    <row r="6" spans="1:98" x14ac:dyDescent="0.45">
      <c r="A6" s="192"/>
      <c r="B6" s="197" t="s">
        <v>5</v>
      </c>
      <c r="C6" s="198"/>
      <c r="D6" s="198"/>
      <c r="E6" s="198"/>
      <c r="F6" s="199"/>
      <c r="G6" s="203"/>
      <c r="H6" s="204"/>
      <c r="I6" s="204"/>
      <c r="J6" s="205"/>
      <c r="K6" s="196"/>
    </row>
    <row r="7" spans="1:98" ht="23" x14ac:dyDescent="0.5">
      <c r="A7" s="122" t="s">
        <v>6</v>
      </c>
      <c r="B7" s="4"/>
      <c r="C7" s="5"/>
      <c r="D7" s="120"/>
      <c r="E7" s="7"/>
      <c r="F7" s="8"/>
      <c r="G7" s="9"/>
      <c r="H7" s="10"/>
      <c r="I7" s="11"/>
      <c r="J7" s="12"/>
      <c r="K7" s="124" t="str">
        <f>IF(OR(A2="",C3="",B1="",B1=2),"",IF(AND(A2&lt;&gt;1,A2&lt;&gt;2,C3&lt;&gt;1,C3&lt;&gt;2,C3&lt;&gt;3),"Error",IF(AND(C3=1,OR(COUNTIF(D7:J7,"")&lt;&gt;7,B8&lt;&gt;"")),"Error",IF(AND(C3=1,COUNTIF(B7:C7,"Y")=2,COUNTIF(C8,"Y")=1),"ผ่าน",IF(AND(OR(C3=2,C3=3),OR(G7="",G7="Y",G7=" "),COUNTIF(H7,"Y")=1,OR(I7="",I7="Y",I7=" "),COUNTIF(J7,"Y")=1,COUNTIF(B7:F7,"Y")=5,OR(B8="",B8="Y",B8="N"),COUNTIF(C8,"Y")=1),"ผ่าน","ไม่ผ่าน")))))</f>
        <v/>
      </c>
      <c r="L7" s="13" t="str">
        <f>IF(OR(AND(B1="",COUNTIF(B7:J7,"")&lt;&gt;9,COUNTIF(B8:C8,"")&lt;&gt;2),B1=""),"ข้อมูลชุดนี้ใช้ประเมินเกณฑ์มาตรฐานหลักสูตร พ.ศ. 2548",IF(AND(B1=2,OR(COUNTIF(B7:J7,"")&lt;&gt;9,COUNTIF(B8:C8,"")&lt;&gt;2)),"หลักสูตรไม่ได้ใช้เกณฑ์มาตรฐานหลักสูตร พ.ศ. 2548", IF(AND(A2="",OR(COUNTIF(B7:J7,"")&lt;&gt;9,COUNTIF(B8:C8,"")&lt;&gt;2)),"ต้องใส่ชื่อหลักสูตร",IF(AND(C3="",OR(COUNTIF(B7:J7,"")&lt;&gt;9,COUNTIF(B8:C8,"")&lt;&gt;2)),"ต้องใส่เลขแทนระดับปริญญา",IF(AND(C3=1,K7="Error"),"ปริญญาตรีไม่ต้องประเมินเกณฑ์ข้อ 3 - เกณฑ์ข้อ 10","")))))</f>
        <v>ข้อมูลชุดนี้ใช้ประเมินเกณฑ์มาตรฐานหลักสูตร พ.ศ. 2548</v>
      </c>
      <c r="CA7" s="86" t="str">
        <f>IF(AND(OR(C3=2,C3=3),B7=""),"ใส่ผลประเมินเกณฑ์ข้อ 1",IF(OR(B7="Y",B7="N"),"","เกณฑ์ข้อ 1 ต้องใส่ Y หรือ N"))</f>
        <v>เกณฑ์ข้อ 1 ต้องใส่ Y หรือ N</v>
      </c>
      <c r="CB7" s="86" t="str">
        <f>IF(AND(OR(C3=2,C3=3),C7=""),"ใส่ผลประเมินเกณฑ์ข้อ 2",IF(OR(C7="Y",C7="N"),"","เกณฑ์ข้อ 2 ต้องใส่ Y หรือ N"))</f>
        <v>เกณฑ์ข้อ 2 ต้องใส่ Y หรือ N</v>
      </c>
      <c r="CC7" s="86" t="str">
        <f>IF(OR(C3=2,C3=3,D7=""),"","ปริญญาตรีไม่ต้องประเมินเกณฑ์ ข้อ 3")</f>
        <v/>
      </c>
      <c r="CD7" s="86" t="str">
        <f>IF(OR(C3=2,C3=3,E7=""),"","ปริญญาตรีไม่ต้องประเมินเกณฑ์ ข้อ 4")</f>
        <v/>
      </c>
      <c r="CE7" s="86" t="str">
        <f>IF(OR(C3=2,C3=3,F7=""),"","ปริญญาตรีไม่ต้องประเมินเกณฑ์ ข้อ 5")</f>
        <v/>
      </c>
      <c r="CF7" s="86" t="str">
        <f>IF(OR(C3=2,C3=3,G7=""),"","ปริญญาตรีไม่ต้องประเมินเกณฑ์ ข้อ 6")</f>
        <v/>
      </c>
      <c r="CG7" s="86" t="str">
        <f>IF(OR(C3=2,C3=3,H7=""),"","ปริญญาตรีไม่ต้องประเมินเกณฑ์ ข้อ 7")</f>
        <v/>
      </c>
      <c r="CH7" s="86" t="str">
        <f>IF(OR(C3=2,C3=3,I7=""),"","ปริญญาตรีไม่ต้องประเมินเกณฑ์ ข้อ 8")</f>
        <v/>
      </c>
      <c r="CI7" s="86" t="str">
        <f>IF(OR(C3=2,C3=3,J7=""),"","ปริญญาตรีไม่ต้องประเมินเกณฑ์ ข้อ 9")</f>
        <v/>
      </c>
      <c r="CJ7" s="86" t="str">
        <f>IF(OR(C3=2,C3=3,B8=""),"","ปริญญาตรีไม่ต้องประเมินเกณฑ์ ข้อ 10")</f>
        <v/>
      </c>
      <c r="CK7" s="86" t="str">
        <f>IF(AND(OR(C3=2,C3=3),C8=""),"ใส่ผลประเมินเกณฑ์ข้อ 11",IF(OR(C8="Y",C8="N"),"","เกณฑ์ข้อ 11 ต้องใส่ Y หรือ N"))</f>
        <v>เกณฑ์ข้อ 11 ต้องใส่ Y หรือ N</v>
      </c>
      <c r="CL7" s="14" t="str">
        <f>IF(AND(CA7="",CB7="",CC7="",CD7="",CE7="",CF7="",CG7="",CH7="",CI7="",CJ7="",CK7=""),"",IF(CA7&lt;&gt;"",CA7,IF(CB7&lt;&gt;"",CB7,IF(CC7&lt;&gt;"",CC7,IF(CD7&lt;&gt;"",CD7,IF(CE7&lt;&gt;"",CE7,IF(CF7&lt;&gt;"",CF7,IF(CG7&lt;&gt;"",CG7,IF(CH7&lt;&gt;"",CH7,IF(CI7&lt;&gt;"",CI7,IF(CJ7&lt;&gt;"",CJ7,IF(CK7&lt;&gt;"",CK7,"Error"))))))))))))</f>
        <v>เกณฑ์ข้อ 1 ต้องใส่ Y หรือ N</v>
      </c>
      <c r="CM7" s="71"/>
      <c r="CN7" s="71"/>
      <c r="CO7" s="71"/>
      <c r="CP7" s="71"/>
      <c r="CQ7" s="71"/>
      <c r="CR7" s="71"/>
      <c r="CS7" s="71"/>
      <c r="CT7" s="71"/>
    </row>
    <row r="8" spans="1:98" ht="23" x14ac:dyDescent="0.5">
      <c r="A8" s="123"/>
      <c r="B8" s="15"/>
      <c r="C8" s="16"/>
      <c r="D8" s="220" t="s">
        <v>61</v>
      </c>
      <c r="E8" s="220"/>
      <c r="F8" s="220"/>
      <c r="G8" s="220"/>
      <c r="H8" s="220"/>
      <c r="I8" s="220"/>
      <c r="J8" s="220"/>
      <c r="K8" s="125"/>
      <c r="L8" s="17" t="str">
        <f>IF(OR(B1="",B1=2),"",IF(AND(OR(A2="",C3=""),COUNTIF(B7:J7,"")=9,COUNTIF(B8:C8,"")=2),"",IF(C3=1,CL7,IF(OR(C3=2,C3=3),CL8,""))))</f>
        <v/>
      </c>
      <c r="N8" s="18"/>
      <c r="CA8" s="86" t="str">
        <f>IF(AND(C3=1,B7=""),"ใส่ผลประเมินเกณฑ์ข้อ 1",IF(OR(B7="Y",B7="N"),"","เกณฑ์ข้อ 1 ต้องใส่ Y หรือ N"))</f>
        <v>เกณฑ์ข้อ 1 ต้องใส่ Y หรือ N</v>
      </c>
      <c r="CB8" s="86" t="str">
        <f>IF(AND(C3=1,C7=""),"ใส่ผลประเมินเกณฑ์ข้อ 2",IF(OR(C7="Y",C7="N"),"","เกณฑ์ข้อ 2 ต้องใส่ Y หรือ N"))</f>
        <v>เกณฑ์ข้อ 2 ต้องใส่ Y หรือ N</v>
      </c>
      <c r="CC8" s="86" t="str">
        <f>IF(AND(C3=1,D7=""),"ใส่ผลประเมินเกณฑ์ข้อ 3",IF(OR(D7="Y",D7="N"),"","เกณฑ์ข้อ 3 ต้องใส่ Y หรือ N"))</f>
        <v>เกณฑ์ข้อ 3 ต้องใส่ Y หรือ N</v>
      </c>
      <c r="CD8" s="86" t="str">
        <f>IF(AND(C3=1,E7=""),"ใส่ผลประเมินเกณฑ์ข้อ 4",IF(OR(E7="Y",E7="N"),"","เกณฑ์ข้อ 4 ต้องใส่ Y หรือ N"))</f>
        <v>เกณฑ์ข้อ 4 ต้องใส่ Y หรือ N</v>
      </c>
      <c r="CE8" s="86" t="str">
        <f>IF(AND(C3=1,F7=""),"ใส่ผลประเมินเกณฑ์ข้อ 5",IF(OR(F7="Y",F7="N"),"","เกณฑ์ข้อ 5 ต้องใส่ Y หรือ N"))</f>
        <v>เกณฑ์ข้อ 5 ต้องใส่ Y หรือ N</v>
      </c>
      <c r="CF8" s="86" t="str">
        <f>IF(AND(C3=1,G7=""),"ถ้ามี อจ ที่ปรึกษาร่วม ให้ใส่ผลประเมินเกณฑ์ข้อ 6",IF(OR(G7="Y",G7="N",G7=" "),"","เกณฑ์ข้อ 6 ต้องใส่ Y หรือ N หรือเคาะ space bar"))</f>
        <v>เกณฑ์ข้อ 6 ต้องใส่ Y หรือ N หรือเคาะ space bar</v>
      </c>
      <c r="CG8" s="86" t="str">
        <f>IF(AND(C3=1,H7=""),"ใส่ผลประเมินเกณฑ์ข้อ 7",IF(OR(H7="Y",H7="N"),"","เกณฑ์ข้อ 7 ต้องใส่ Y หรือ N"))</f>
        <v>เกณฑ์ข้อ 7 ต้องใส่ Y หรือ N</v>
      </c>
      <c r="CH8" s="86" t="str">
        <f>IF(AND(C3=1,I7=""),"ถ้ามีการตึพิมพ์ผลงานของผู้สำเร็จการศึกษา ใส่ผลประเมินเกณฑ์ข้อ 8",IF(OR(I7="Y",I7="N",I7=" "),"","เกณฑ์ข้อ 8 ต้องใส่ Y หรือ N หรือเคาะ space bar"))</f>
        <v>เกณฑ์ข้อ 8 ต้องใส่ Y หรือ N หรือเคาะ space bar</v>
      </c>
      <c r="CI8" s="86" t="str">
        <f>IF(AND(C3=1,J7=""),"ใส่ผลประเมินเกณฑ์ข้อ 9",IF(OR(J7="Y",J7="N"),"","เกณฑ์ข้อ 9 ต้องใส่ Y หรือ N"))</f>
        <v>เกณฑ์ข้อ 9 ต้องใส่ Y หรือ N</v>
      </c>
      <c r="CJ8" s="86" t="str">
        <f>IF(AND(C3=1,B8=""),"ใส่ผลประเมินเกณฑ์ข้อ 10",IF(OR(B8="Y",B8="N"),"","เกณฑ์ข้อ 10 ต้องใส่ Y หรือ N"))</f>
        <v>เกณฑ์ข้อ 10 ต้องใส่ Y หรือ N</v>
      </c>
      <c r="CK8" s="86" t="str">
        <f>IF(AND(C3=1,C8=""),"ใส่ผลประเมินเกณฑ์ข้อ 11",IF(OR(C8="Y",C8="N"),"","เกณฑ์ข้อ 11 ต้องใส่ Y หรือ N"))</f>
        <v>เกณฑ์ข้อ 11 ต้องใส่ Y หรือ N</v>
      </c>
      <c r="CL8" s="14" t="str">
        <f>IF(AND(CA8="",CB8="",CC8="",CD8="",CE8="",CF8="",CG8="",CH8="",CI8="",CJ8="",CK8=""),"",IF(CA8&lt;&gt;"",CA8,IF(CB8&lt;&gt;"",CB8,IF(CC8&lt;&gt;"",CC8,IF(CD8&lt;&gt;"",CD8,IF(CE8&lt;&gt;"",CE8,IF(CF8&lt;&gt;"",CF8,IF(CG8&lt;&gt;"",CG8,IF(CH8&lt;&gt;"",CH8,IF(CI8&lt;&gt;"",CI8,IF(CJ8&lt;&gt;"",CJ8,IF(CK8&lt;&gt;"",CK8,"Error"))))))))))))</f>
        <v>เกณฑ์ข้อ 1 ต้องใส่ Y หรือ N</v>
      </c>
      <c r="CM8" s="71"/>
      <c r="CN8" s="71"/>
      <c r="CO8" s="71"/>
      <c r="CP8" s="71"/>
      <c r="CQ8" s="71"/>
      <c r="CR8" s="71"/>
      <c r="CS8" s="71"/>
      <c r="CT8" s="71"/>
    </row>
    <row r="9" spans="1:98" ht="23" x14ac:dyDescent="0.5">
      <c r="A9" s="122" t="s">
        <v>6</v>
      </c>
      <c r="B9" s="12"/>
      <c r="C9" s="117"/>
      <c r="D9" s="115"/>
      <c r="E9" s="121"/>
      <c r="F9" s="75"/>
      <c r="G9" s="16"/>
      <c r="H9" s="76"/>
      <c r="I9" s="116"/>
      <c r="J9" s="10"/>
      <c r="K9" s="124" t="str">
        <f>IF(OR(A2="",C3="",B1="",B1=1),"",IF(AND(A2&lt;&gt;1,A2&lt;&gt;2,C3&lt;&gt;1,C3&lt;&gt;2,C3&lt;&gt;3),"Error",IF(AND(C3=1,COUNTIF(F9:J9,"")&lt;&gt;5),"Error",IF(AND(C3=1,COUNTIF(B9:E9,"Y")=4,COUNTIF(B10,"Y")=1),"ผ่าน",IF(AND(OR(C3=2,C3=3),OR(G9="",G9="Y",G9=" "),COUNTIF(H9,"Y")=1,OR(I9="",I9="Y",I9=" "),COUNTIF(J9,"Y")=1,COUNTIF(B9:F9,"Y")=5,COUNTIF(B10,"Y")=1),"ผ่าน","ไม่ผ่าน")))))</f>
        <v/>
      </c>
      <c r="L9" s="13" t="str">
        <f>IF(OR(AND(B1="",COUNTIF(B9:J9,"")&lt;&gt;9,B10&lt;&gt;""),B1=""),"ข้อมูลชุดนี้ใช้ประเมินเกณฑ์มาตรฐานหลักสูตร พ.ศ. 2558",IF(AND(B1=1,OR(COUNTIF(B9:J9,"")&lt;&gt;9,B10&lt;&gt;"")),"หลักสูตรไม่ได้ใช้เกณฑ์มาตรฐานหลักสูตร พ.ศ. 2558",IF(AND(A2="",OR(COUNTIF(B9:J9,"")&lt;&gt;9,B10&lt;&gt;"")),"ต้องใส่ชื่อหลักสูตร",IF(AND(C3="",OR(COUNTIF(B9:J9,"")&lt;&gt;9,B10&lt;&gt;"")),"ต้องใส่เลขแทนระดับปริญญา",IF(AND(C3=1,K9="Error"),"ปริญญาตรีไม่ต้องประเมินเกณฑ์ข้อ 5 - เกณฑ์ข้อ 9","")))))</f>
        <v>ข้อมูลชุดนี้ใช้ประเมินเกณฑ์มาตรฐานหลักสูตร พ.ศ. 2558</v>
      </c>
      <c r="N9" s="18"/>
      <c r="CA9" s="86" t="str">
        <f>IF(AND(OR(C3=2,C3=3),B9=""),"ใส่ผลประเมินเกณฑ์ข้อ 1",IF(OR(B9="Y",B9="N"),"","เกณฑ์ข้อ 1 ต้องใส่ Y หรือ N"))</f>
        <v>เกณฑ์ข้อ 1 ต้องใส่ Y หรือ N</v>
      </c>
      <c r="CB9" s="86" t="str">
        <f>IF(AND(OR(C3=2,C3=3),C9=""),"ใส่ผลประเมินเกณฑ์ข้อ 2",IF(OR(C9="Y",C9="N"),"","เกณฑ์ข้อ 2 ต้องใส่ Y หรือ N"))</f>
        <v>เกณฑ์ข้อ 2 ต้องใส่ Y หรือ N</v>
      </c>
      <c r="CC9" s="86" t="str">
        <f>IF(AND(OR(C3=2,C3=3),D9=""),"ใส่ผลประเมินเกณฑ์ข้อ 3",IF(OR(D9="Y",D9="N"),"","เกณฑ์ข้อ 3 ต้องใส่ Y หรือ N"))</f>
        <v>เกณฑ์ข้อ 3 ต้องใส่ Y หรือ N</v>
      </c>
      <c r="CD9" s="86" t="str">
        <f>IF(AND(OR(C3=2,C3=3),E9=""),"ใส่ผลประเมินเกณฑ์ข้อ 4",IF(OR(E9="Y",E9="N"),"","เกณฑ์ข้อ 4 ต้องใส่ Y หรือ N"))</f>
        <v>เกณฑ์ข้อ 4 ต้องใส่ Y หรือ N</v>
      </c>
      <c r="CE9" s="86" t="str">
        <f>IF(OR(C3=2,C3=3,F9=""),"","ปริญญาตรีไม่ต้องประเมินเกณฑ์ ข้อ 5")</f>
        <v/>
      </c>
      <c r="CF9" s="86" t="str">
        <f>IF(OR(C3=2,C3=3,G9=""),"","ปริญญาตรีไม่ต้องประเมินเกณฑ์ ข้อ 6")</f>
        <v/>
      </c>
      <c r="CG9" s="86" t="str">
        <f>IF(OR(C3=2,C3=3,H9=""),"","ปริญญาตรีไม่ต้องประเมินเกณฑ์ ข้อ 7")</f>
        <v/>
      </c>
      <c r="CH9" s="86" t="str">
        <f>IF(OR(C3=2,C3=3,I9=""),"","ปริญญาตรีไม่ต้องประเมินเกณฑ์ ข้อ 8")</f>
        <v/>
      </c>
      <c r="CI9" s="86" t="str">
        <f>IF(OR(C3=2,C3=3,J9=""),"","ปริญญาตรีไม่ต้องประเมินเกณฑ์ ข้อ 9")</f>
        <v/>
      </c>
      <c r="CJ9" s="86" t="str">
        <f>IF(AND(OR(C3=2,C3=3),B10=""),"ใส่ผลประเมินเกณฑ์ข้อ 10",IF(OR(B10="Y",B10="N"),"","เกณฑ์ข้อ 10 ต้องใส่ Y หรือ N"))</f>
        <v>เกณฑ์ข้อ 10 ต้องใส่ Y หรือ N</v>
      </c>
      <c r="CK9" s="86"/>
      <c r="CL9" s="14" t="str">
        <f>IF(AND(CA9="",CB9="",CC9="",CD9="",CE9="",CF9="",CG9="",CH9="",CI9="",CJ9="",CK9=""),"",IF(CA9&lt;&gt;"",CA9,IF(CB9&lt;&gt;"",CB9,IF(CC9&lt;&gt;"",CC9,IF(CD9&lt;&gt;"",CD9,IF(CE9&lt;&gt;"",CE9,IF(CF9&lt;&gt;"",CF9,IF(CG9&lt;&gt;"",CG9,IF(CH9&lt;&gt;"",CH9,IF(CI9&lt;&gt;"",CI9,IF(CJ9&lt;&gt;"",CJ9,IF(CK9&lt;&gt;"",CK9,"Error"))))))))))))</f>
        <v>เกณฑ์ข้อ 1 ต้องใส่ Y หรือ N</v>
      </c>
      <c r="CM9" s="71"/>
      <c r="CN9" s="71"/>
      <c r="CO9" s="71"/>
      <c r="CP9" s="71"/>
      <c r="CQ9" s="71"/>
      <c r="CR9" s="71"/>
      <c r="CS9" s="71"/>
      <c r="CT9" s="71"/>
    </row>
    <row r="10" spans="1:98" ht="23.25" customHeight="1" x14ac:dyDescent="0.5">
      <c r="A10" s="123"/>
      <c r="B10" s="118"/>
      <c r="C10" s="129" t="s">
        <v>61</v>
      </c>
      <c r="D10" s="130"/>
      <c r="E10" s="130"/>
      <c r="F10" s="130"/>
      <c r="G10" s="130"/>
      <c r="H10" s="130"/>
      <c r="I10" s="130"/>
      <c r="J10" s="131"/>
      <c r="K10" s="125"/>
      <c r="L10" s="17" t="str">
        <f>IF(OR(B1="",B1=1),"",IF(AND(OR(A2="",C3=""),COUNTIF(B9:J9,"")=9,COUNTIF(B10,"")=1),"",IF(C3=1,CL9,IF(OR(C3=2,C3=3),CL10,""))))</f>
        <v/>
      </c>
      <c r="N10" s="18"/>
      <c r="CA10" s="86" t="str">
        <f>IF(AND(C3=1,B9=""),"ใส่ผลประเมินเกณฑ์ข้อ 1",IF(OR(B9="Y",B9="N"),"","เกณฑ์ข้อ 1 ต้องใส่ Y หรือ N"))</f>
        <v>เกณฑ์ข้อ 1 ต้องใส่ Y หรือ N</v>
      </c>
      <c r="CB10" s="86" t="str">
        <f>IF(AND(C3=1,C9=""),"ใส่ผลประเมินเกณฑ์ข้อ 2",IF(OR(C9="Y",C9="N"),"","เกณฑ์ข้อ 2 ต้องใส่ Y หรือ N"))</f>
        <v>เกณฑ์ข้อ 2 ต้องใส่ Y หรือ N</v>
      </c>
      <c r="CC10" s="86" t="str">
        <f>IF(AND(C3=1,D9=""),"ใส่ผลประเมินเกณฑ์ข้อ 3",IF(OR(D9="Y",D9="N"),"","เกณฑ์ข้อ 3 ต้องใส่ Y หรือ N"))</f>
        <v>เกณฑ์ข้อ 3 ต้องใส่ Y หรือ N</v>
      </c>
      <c r="CD10" s="86" t="str">
        <f>IF(AND(C3=1,E9=""),"ใส่ผลประเมินเกณฑ์ข้อ 4",IF(OR(E9="Y",E9="N"),"","เกณฑ์ข้อ 4 ต้องใส่ Y หรือ N"))</f>
        <v>เกณฑ์ข้อ 4 ต้องใส่ Y หรือ N</v>
      </c>
      <c r="CE10" s="86" t="str">
        <f>IF(AND(C3=1,F9=""),"ใส่ผลประเมินเกณฑ์ข้อ 5",IF(OR(F9="Y",F9="N"),"","เกณฑ์ข้อ 5 ต้องใส่ Y หรือ N"))</f>
        <v>เกณฑ์ข้อ 5 ต้องใส่ Y หรือ N</v>
      </c>
      <c r="CF10" s="86" t="str">
        <f>IF(AND(C3=1,G9=""),"ถ้ามี อจ ที่ปรึกษาร่วม ให้ใส่ผลประเมินเกณฑ์ข้อ 6",IF(OR(G9="Y",G9="N",G9=" "),"","เกณฑ์ข้อ 6 ต้องใส่ Y หรือ N หรือเคาะ space bar"))</f>
        <v>เกณฑ์ข้อ 6 ต้องใส่ Y หรือ N หรือเคาะ space bar</v>
      </c>
      <c r="CG10" s="86" t="str">
        <f>IF(AND(C3=1,H9=""),"ใส่ผลประเมินเกณฑ์ข้อ 7",IF(OR(H9="Y",H9="N"),"","เกณฑ์ข้อ 7 ต้องใส่ Y หรือ N"))</f>
        <v>เกณฑ์ข้อ 7 ต้องใส่ Y หรือ N</v>
      </c>
      <c r="CH10" s="86" t="str">
        <f>IF(AND(C3=1,I9=""),"ถ้ามีการตึพิมพ์ผลงานของผู้สำเร็จการศึกษา ให้ใส่ผลประเมินเกณฑ์ข้อ 8",IF(OR(I9="Y",I9="N",I9=" "),"","เกณฑ์ข้อ 8 ต้องใส่ Y หรือ N หรือเคาะ space bar"))</f>
        <v>เกณฑ์ข้อ 8 ต้องใส่ Y หรือ N หรือเคาะ space bar</v>
      </c>
      <c r="CI10" s="86" t="str">
        <f>IF(AND(C3=1,J9=""),"ใส่ผลประเมินเกณฑ์ข้อ 9",IF(OR(J9="Y",J9="N"),"","เกณฑ์ข้อ 9 ต้องใส่ Y หรือ N"))</f>
        <v>เกณฑ์ข้อ 9 ต้องใส่ Y หรือ N</v>
      </c>
      <c r="CJ10" s="86" t="str">
        <f>IF(AND(C3=1,B10=""),"ใส่ผลประเมินเกณฑ์ข้อ 10",IF(OR(B10="Y",B10="N"),"","เกณฑ์ข้อ 10 ต้องใส่ Y หรือ N"))</f>
        <v>เกณฑ์ข้อ 10 ต้องใส่ Y หรือ N</v>
      </c>
      <c r="CK10" s="86"/>
      <c r="CL10" s="14" t="str">
        <f>IF(AND(CA10="",CB10="",CC10="",CD10="",CE10="",CF10="",CG10="",CH10="",CI10="",CJ10="",CK10=""),"",IF(CA10&lt;&gt;"",CA10,IF(CB10&lt;&gt;"",CB10,IF(CC10&lt;&gt;"",CC10,IF(CD10&lt;&gt;"",CD10,IF(CE10&lt;&gt;"",CE10,IF(CF10&lt;&gt;"",CF10,IF(CG10&lt;&gt;"",CG10,IF(CH10&lt;&gt;"",CH10,IF(CI10&lt;&gt;"",CI10,IF(CJ10&lt;&gt;"",CJ10,IF(CK10&lt;&gt;"",CK10,"Error"))))))))))))</f>
        <v>เกณฑ์ข้อ 1 ต้องใส่ Y หรือ N</v>
      </c>
      <c r="CM10" s="71"/>
      <c r="CN10" s="71"/>
      <c r="CO10" s="71"/>
      <c r="CP10" s="71"/>
      <c r="CQ10" s="71"/>
      <c r="CR10" s="71"/>
      <c r="CS10" s="71"/>
      <c r="CT10" s="71"/>
    </row>
    <row r="11" spans="1:98" ht="23" x14ac:dyDescent="0.5">
      <c r="A11" s="212" t="s">
        <v>7</v>
      </c>
      <c r="B11" s="227"/>
      <c r="C11" s="228"/>
      <c r="D11" s="221"/>
      <c r="E11" s="222"/>
      <c r="F11" s="223"/>
      <c r="G11" s="213" t="str">
        <f>IF(OR(B11="",D11="",D11&lt;0,D12="",D12&lt;0,D12&lt;&gt;ROUND(D12,0)),"","ร้อยละ")</f>
        <v/>
      </c>
      <c r="H11" s="214"/>
      <c r="I11" s="217" t="str">
        <f>IF(OR(B11="",D11="",D11&lt;0,D12="",D12&lt;0,D12&lt;&gt;ROUND(D12,0)),"",D12*100/B11)</f>
        <v/>
      </c>
      <c r="J11" s="217"/>
      <c r="K11" s="218" t="str">
        <f>IF(OR(AND(C3=1,B11&lt;&gt;"",B13&lt;&gt;"",B11&lt;&gt;B13),D11&lt;0,D12&lt;0,D12&lt;&gt;ROUND(D12,0),L11&lt;&gt;""),"Error",IF(OR(B11="",D11="",D12=""),"",IF(D12=0,0,IF(AND(D11&lt;&gt;"",D12&lt;&gt;"",ROUND(D11/D12,2)&gt;5),"Error",IF(D12*100/B11&lt;20,0,ROUND(D11/D12,2))))))</f>
        <v/>
      </c>
      <c r="L11" s="13" t="str">
        <f>IF(AND(B11="",D11&lt;&gt;"",D12&lt;&gt;""),"ต้องใส่จำนวนบัณฑิตที่สำเร็จการศึกษาในปีก่อนปีที่ประเมิน",IF(D11&lt;0,"ผลรวมของค่าคะแนน ต้องไม่ติดลบ",IF(D12&lt;0,"จำนวนบัณฑิต ต้องไม่ติดลบ",IF(D12&lt;&gt;ROUND(D12,0),"จำนวนบัณฑิต ต้องไม่เป็นทศนิยม",IF(AND(C3=1,B11&lt;&gt;B13),"จำนวนบัณฑิตที่สำเร็จการศึกษาในปีก่อนปีที่ประเมิน ไม่เท่ากับ ตบช ที่ 2.2",IF(OR(D11="",D12=""),"",IF(D12=0,"",IF(ROUND(D11/D12,2)&gt;5,"คะแนนเฉลี่ย ต้องมีค่าไม่เกิน 5.00",""))))))))</f>
        <v/>
      </c>
    </row>
    <row r="12" spans="1:98" ht="23" x14ac:dyDescent="0.5">
      <c r="A12" s="156"/>
      <c r="B12" s="229"/>
      <c r="C12" s="230"/>
      <c r="D12" s="224"/>
      <c r="E12" s="225"/>
      <c r="F12" s="226"/>
      <c r="G12" s="215"/>
      <c r="H12" s="216"/>
      <c r="I12" s="217"/>
      <c r="J12" s="217"/>
      <c r="K12" s="219"/>
      <c r="L12" s="61" t="str">
        <f>IF(AND(I11&lt;20,D11&lt;&gt;"",D12&lt;&gt;""),"จำนวนบัณฑิตที่รับการประเมินจากผู้ใช้บัณฑิตน้อยกว่าร้อยละ 20","")</f>
        <v/>
      </c>
    </row>
    <row r="13" spans="1:98" ht="23" x14ac:dyDescent="0.5">
      <c r="A13" s="206" t="s">
        <v>8</v>
      </c>
      <c r="B13" s="231"/>
      <c r="C13" s="231"/>
      <c r="D13" s="227"/>
      <c r="E13" s="228"/>
      <c r="F13" s="233"/>
      <c r="G13" s="232"/>
      <c r="H13" s="232"/>
      <c r="I13" s="208" t="str">
        <f>IF(OR(B13="",D13="",G13="",G13&lt;0,G13&lt;&gt;ROUND(G13,0),G14="",G14&lt;0,G14&lt;&gt;ROUND(G14,0)),"",IF(G14=0,0,IF(D13*100/B13&lt;70,0,ROUND(G13*100/G14,2))))</f>
        <v/>
      </c>
      <c r="J13" s="209"/>
      <c r="K13" s="183" t="str">
        <f>IF(C3&lt;&gt;1,"",IF(OR(G13&lt;0,G13&lt;&gt;ROUND(G13,0),G14&lt;0,G14&lt;&gt;ROUND(G14,0),AND(G13&lt;&gt;"",G14&lt;&gt;"",I13&gt;100),AND(C3=1,B11&lt;&gt;"",B13&lt;&gt;"",B11&lt;&gt;B13),L13&lt;&gt;""),"Error",IF(OR(B13="",D13="",G13="",G14="",I13=""),"",IF(D13*100/B13&lt;70,0,IF(G14=0,0,IF(ROUND(I13*5/100,2)&gt;5,5,ROUND(I13*5/100,2)))))))</f>
        <v/>
      </c>
      <c r="L13" s="19" t="str">
        <f>IF(AND(B13="",G13&lt;&gt;"",G14&lt;&gt;""),"ต้องใส่จำนวนบัณฑิตที่สำเร็จการศึกษาในปีก่อนปีที่ประเมิน",IF(AND(B13&lt;&gt;"",D13="",G13&lt;&gt;"",G14&lt;&gt;""),"ต้องใส่จำนวนบัณฑิตปริญญาตรีที่ตอบแบบสำรวจทั้งหมดก่อนหักจำนวนที่ไม่ต้องนำมาคำนวณ",IF(AND(G13="",G14=""),"",IF(OR(G13&lt;0,G14&lt;0),"จำนวนบัณฑิต ต้องไม่ติดลบ",IF(OR(G13&lt;&gt;ROUND(G13,0),G14&lt;&gt;ROUND(G14,0)),"จำนวนบัณฑิต ต้องไม่เป็นทศนิยม",IF(AND(D13="",G14=""),"ไม่มีผู้สำเร็จการศึกษา ไม่ต้องประเมินตัวบ่งชี้นี้",IF(I13="","",IF(I13&gt;100,"จำนวนบัณฑิตที่ได้งานทำ ต้องไม่มากกว่าบัณฑิตที่ตอบแบบสำรวจทั้งหมด",IF(AND(C3=1,B11&lt;&gt;B13),"จำนวนบัณฑิตที่สำเร็จการศึกษาในปีก่อนปีที่ประเมิน ไม่เท่ากับ ตบช ที่ 2.1","")))))))))</f>
        <v/>
      </c>
      <c r="M13" s="20"/>
      <c r="N13" s="20"/>
      <c r="O13" s="20"/>
      <c r="P13" s="87"/>
      <c r="Q13" s="87"/>
      <c r="R13" s="87"/>
      <c r="S13" s="87"/>
      <c r="T13" s="87"/>
      <c r="U13" s="88"/>
      <c r="V13" s="89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1"/>
      <c r="BJ13" s="91"/>
      <c r="CA13" s="90"/>
      <c r="CB13" s="90"/>
      <c r="CC13" s="90"/>
      <c r="CD13" s="90"/>
    </row>
    <row r="14" spans="1:98" ht="23" x14ac:dyDescent="0.45">
      <c r="A14" s="207"/>
      <c r="B14" s="231"/>
      <c r="C14" s="231"/>
      <c r="D14" s="229"/>
      <c r="E14" s="230"/>
      <c r="F14" s="234"/>
      <c r="G14" s="185"/>
      <c r="H14" s="185"/>
      <c r="I14" s="210"/>
      <c r="J14" s="211"/>
      <c r="K14" s="184"/>
      <c r="L14" s="21" t="str">
        <f>IF(G14=0,"",IF(AND(C3=2,I13&lt;&gt;"",K13=""),"ไม่ต้องประเมินตัวบ่งชี้นี้ในหลักสูตรระดับปริญญาโท",IF(AND(C3=3,I13&lt;&gt;"",K13=""),"ไม่ต้องประเมินตัวบ่งชี้นี้ในหลักสูตรระดับปริญญาเอก",IF(OR(B13="",D13=""),"",IF(AND(D13&lt;&gt;"",D13*100/B13&lt;70),"จำนวนบัณฑิตที่รับการประเมินจากผู้ใช้บัณฑิตน้อยกว่าร้อยละ 70","")))))</f>
        <v/>
      </c>
      <c r="M14" s="20"/>
      <c r="N14" s="20"/>
      <c r="O14" s="20"/>
      <c r="P14" s="87"/>
      <c r="Q14" s="87"/>
      <c r="R14" s="87"/>
      <c r="S14" s="87"/>
      <c r="T14" s="87"/>
      <c r="U14" s="88"/>
      <c r="V14" s="89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1"/>
      <c r="BJ14" s="91"/>
      <c r="CA14" s="90"/>
      <c r="CB14" s="90"/>
      <c r="CC14" s="90"/>
      <c r="CD14" s="90"/>
    </row>
    <row r="15" spans="1:98" ht="23" x14ac:dyDescent="0.5">
      <c r="A15" s="122" t="s">
        <v>9</v>
      </c>
      <c r="B15" s="186"/>
      <c r="C15" s="186"/>
      <c r="D15" s="186"/>
      <c r="E15" s="186"/>
      <c r="F15" s="186"/>
      <c r="G15" s="175" t="str">
        <f>IF(OR(B15="",B15&lt;0,B16="",B16&lt;=0,B16&lt;&gt;ROUND(B16,0)),"","ร้อยละ")</f>
        <v/>
      </c>
      <c r="H15" s="176"/>
      <c r="I15" s="179" t="str">
        <f>IF(OR(B15="",B15&lt;0,B16="",B16&lt;=0,B16&lt;&gt;ROUND(B16,0)),"",ROUNDDOWN(B15*100/B16,2))</f>
        <v/>
      </c>
      <c r="J15" s="180"/>
      <c r="K15" s="183" t="str">
        <f>IF(C3&lt;&gt;2,"",IF(OR(B15="",B16=""),"",IF(OR(B15&lt;0,B16&lt;=0,B16&lt;&gt;ROUND(B16,0)),"Error",IF(ROUNDDOWN(I15*5/40,2)&gt;5,5,ROUNDDOWN(I15*5/40,2)))))</f>
        <v/>
      </c>
      <c r="L15" s="19" t="str">
        <f>IF(OR(B15="",B16=""),"",(IF(B15&lt;0,"ผลรวมถ่วงน้ำหนัก ต้องไม่ติดลบ",IF(B16&lt;0,"จำนวนผู้สำเร็จ ต้องไม่ติดลบ",IF(B16&lt;&gt;ROUND(B16,0),"จำนวนผู้สำเร็จ ต้องไม่เป็นทศนิยม",IF(B16=0,"ไม่มีผู้สำเร็จการศึกษา ไม่ต้องประเมินตัวบ่งชี้นี้",""))))))</f>
        <v/>
      </c>
      <c r="M15" s="20"/>
      <c r="N15" s="20"/>
      <c r="O15" s="20"/>
      <c r="P15" s="87"/>
      <c r="Q15" s="87"/>
      <c r="R15" s="87"/>
      <c r="S15" s="87"/>
      <c r="T15" s="87"/>
      <c r="U15" s="88"/>
      <c r="V15" s="89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1"/>
      <c r="BJ15" s="91"/>
      <c r="CA15" s="90"/>
      <c r="CB15" s="90"/>
      <c r="CC15" s="90"/>
      <c r="CD15" s="90"/>
    </row>
    <row r="16" spans="1:98" ht="23" x14ac:dyDescent="0.45">
      <c r="A16" s="173"/>
      <c r="B16" s="185"/>
      <c r="C16" s="185"/>
      <c r="D16" s="185"/>
      <c r="E16" s="185"/>
      <c r="F16" s="185"/>
      <c r="G16" s="177"/>
      <c r="H16" s="178"/>
      <c r="I16" s="181"/>
      <c r="J16" s="182"/>
      <c r="K16" s="184"/>
      <c r="L16" s="21" t="str">
        <f>IF(B16=0,"",IF(AND($C$3=1,I15&lt;&gt;"",K15=""),"ไม่ต้องประเมินตัวบ่งชี้นี้ในหลักสูตรระดับปริญญาตรี",IF(AND($C$3=3,I15&lt;&gt;"",K15=""),"ไม่ต้องประเมินตัวบ่งชี้นี้ในหลักสูตรระดับปริญญาเอก","")))</f>
        <v/>
      </c>
      <c r="M16" s="20"/>
      <c r="N16" s="20"/>
      <c r="O16" s="22"/>
      <c r="P16" s="92"/>
      <c r="Q16" s="87"/>
      <c r="R16" s="87"/>
      <c r="S16" s="87"/>
      <c r="T16" s="87"/>
      <c r="U16" s="88"/>
      <c r="V16" s="89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1"/>
      <c r="BJ16" s="91"/>
      <c r="CB16" s="36" t="str">
        <f>IF(OR(B7="Y",B7="N"),"","เกณฑ์ข้อ 1 ต้องใส่ Y หรือ N")</f>
        <v>เกณฑ์ข้อ 1 ต้องใส่ Y หรือ N</v>
      </c>
    </row>
    <row r="17" spans="1:62" ht="23" x14ac:dyDescent="0.5">
      <c r="A17" s="122" t="s">
        <v>10</v>
      </c>
      <c r="B17" s="174"/>
      <c r="C17" s="174"/>
      <c r="D17" s="174"/>
      <c r="E17" s="174"/>
      <c r="F17" s="174"/>
      <c r="G17" s="175" t="str">
        <f>IF(OR(B17="",B18&lt;=0,B18="",B18&lt;&gt;ROUND(B18,0)),"","ร้อยละ")</f>
        <v/>
      </c>
      <c r="H17" s="176"/>
      <c r="I17" s="179" t="str">
        <f>IF(OR(B17="",B18&lt;=0,B18="",B18&lt;&gt;ROUND(B18,0)),"",IF(B18=0,0,ROUNDDOWN(B17*100/B18,2)))</f>
        <v/>
      </c>
      <c r="J17" s="180"/>
      <c r="K17" s="183" t="str">
        <f>IF(C3&lt;&gt;3,"",IF(OR(B17="",B18=""),"",IF(OR(B17&lt;0,B18&lt;=0,B18&lt;&gt;ROUND(B18,0)),"Error",IF(ROUNDDOWN(I17*5/80,2)&gt;5,5,ROUNDDOWN(I17*5/80,2)))))</f>
        <v/>
      </c>
      <c r="L17" s="19" t="str">
        <f>IF(OR(B17="",B18=""),"",IF(B17&lt;0,"ผลรวมถ่วงน้ำหนัก ต้องไม่ติดลบ",IF(B18&lt;0,"จำนวนผู้สำเร็จ ต้องไม่ติดลบ",IF(B18&lt;&gt;ROUND(B18,0),"จำนวนผู้สำเร็จ ต้องไม่เป็นทศนิยม",IF(B18=0,"ไม่มีผู้สำเร็จการศึกษา ไม่ต้องประเมินตัวบ่งชี้นี้","")))))</f>
        <v/>
      </c>
      <c r="M17" s="20"/>
      <c r="N17" s="20"/>
      <c r="O17" s="23"/>
      <c r="P17" s="87"/>
      <c r="Q17" s="87"/>
      <c r="R17" s="87"/>
      <c r="S17" s="87"/>
      <c r="T17" s="87"/>
      <c r="U17" s="88"/>
      <c r="V17" s="89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1"/>
      <c r="BJ17" s="91"/>
    </row>
    <row r="18" spans="1:62" ht="23" x14ac:dyDescent="0.45">
      <c r="A18" s="173"/>
      <c r="B18" s="185"/>
      <c r="C18" s="185"/>
      <c r="D18" s="185"/>
      <c r="E18" s="185"/>
      <c r="F18" s="185"/>
      <c r="G18" s="177"/>
      <c r="H18" s="178"/>
      <c r="I18" s="181"/>
      <c r="J18" s="182"/>
      <c r="K18" s="184"/>
      <c r="L18" s="21" t="str">
        <f>IF(B18=0,"",IF(AND($C$3=1,I17&lt;&gt;"",K17=""),"ไม่ต้องประเมินตัวบ่งชี้นี้ในหลักสูตรระดับปริญญาตรี",IF(AND($C$3=2,I17&lt;&gt;"",K17=""),"ไม่ต้องประเมินตัวบ่งชี้นี้ในหลักสูตรระดับปริญญาโท","")))</f>
        <v/>
      </c>
      <c r="M18" s="20"/>
      <c r="N18" s="20"/>
      <c r="O18" s="20"/>
      <c r="P18" s="87"/>
      <c r="Q18" s="87"/>
      <c r="R18" s="87"/>
      <c r="S18" s="87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1"/>
      <c r="BJ18" s="91"/>
    </row>
    <row r="19" spans="1:62" ht="23.25" customHeight="1" x14ac:dyDescent="0.45">
      <c r="A19" s="77" t="s">
        <v>11</v>
      </c>
      <c r="B19" s="140"/>
      <c r="C19" s="140"/>
      <c r="D19" s="140"/>
      <c r="E19" s="140"/>
      <c r="F19" s="140"/>
      <c r="G19" s="140"/>
      <c r="H19" s="140"/>
      <c r="I19" s="140"/>
      <c r="J19" s="24"/>
      <c r="K19" s="25" t="str">
        <f>IF(J19="","",IF(OR(J19&lt;0,J19&lt;&gt;ROUND(J19,0),J19&gt;5),"Error",J19))</f>
        <v/>
      </c>
      <c r="L19" s="26" t="str">
        <f>IF(J19="","",(IF(J19&lt;0,"ตะแนนต้องไม่ติดลบ",IF(J19&lt;&gt;ROUND(J19,0),"คะแนนต้องไม่เป็นทศนิยม",IF(J19&gt;5,"คะแนนต้องไม่มากกว่า 5","")))))</f>
        <v/>
      </c>
    </row>
    <row r="20" spans="1:62" ht="23.25" customHeight="1" x14ac:dyDescent="0.45">
      <c r="A20" s="77" t="s">
        <v>12</v>
      </c>
      <c r="B20" s="140"/>
      <c r="C20" s="140"/>
      <c r="D20" s="140"/>
      <c r="E20" s="140"/>
      <c r="F20" s="140"/>
      <c r="G20" s="140"/>
      <c r="H20" s="140"/>
      <c r="I20" s="140"/>
      <c r="J20" s="24"/>
      <c r="K20" s="25" t="str">
        <f>IF(J20="","",IF(OR(J20&lt;0,J20&lt;&gt;ROUND(J20,0),J20&gt;5),"Error",J20))</f>
        <v/>
      </c>
      <c r="L20" s="26" t="str">
        <f>IF(J20="","",(IF(J20&lt;0,"ตะแนนต้องไม่ติดลบ",IF(J20&lt;&gt;ROUND(J20,0),"คะแนนต้องไม่เป็นทศนิยม",IF(J20&gt;5,"คะแนนต้องไม่มากกว่า 5","")))))</f>
        <v/>
      </c>
    </row>
    <row r="21" spans="1:62" ht="23.25" customHeight="1" x14ac:dyDescent="0.45">
      <c r="A21" s="77" t="s">
        <v>13</v>
      </c>
      <c r="B21" s="140"/>
      <c r="C21" s="140"/>
      <c r="D21" s="140"/>
      <c r="E21" s="140"/>
      <c r="F21" s="140"/>
      <c r="G21" s="140"/>
      <c r="H21" s="140"/>
      <c r="I21" s="140"/>
      <c r="J21" s="24"/>
      <c r="K21" s="25" t="str">
        <f>IF(J21="","",IF(OR(J21&lt;0,J21&lt;&gt;ROUND(J21,0),J21&gt;5),"Error",J21))</f>
        <v/>
      </c>
      <c r="L21" s="26" t="str">
        <f>IF(J21="","",(IF(J21&lt;0,"ตะแนนต้องไม่ติดลบ",IF(J21&lt;&gt;ROUND(J21,0),"คะแนนต้องไม่เป็นทศนิยม",IF(J21&gt;5,"คะแนนต้องไม่มากกว่า 5","")))))</f>
        <v/>
      </c>
    </row>
    <row r="22" spans="1:62" ht="23.25" customHeight="1" x14ac:dyDescent="0.45">
      <c r="A22" s="77" t="s">
        <v>14</v>
      </c>
      <c r="B22" s="140"/>
      <c r="C22" s="140"/>
      <c r="D22" s="140"/>
      <c r="E22" s="140"/>
      <c r="F22" s="140"/>
      <c r="G22" s="140"/>
      <c r="H22" s="140"/>
      <c r="I22" s="140"/>
      <c r="J22" s="24"/>
      <c r="K22" s="25" t="str">
        <f>IF(J22="","",IF(OR(J22&lt;0,J22&lt;&gt;ROUND(J22,0),J22&gt;5),"Error",J22))</f>
        <v/>
      </c>
      <c r="L22" s="26" t="str">
        <f>IF(J22="","",(IF(J22&lt;0,"ตะแนนต้องไม่ติดลบ",IF(J22&lt;&gt;ROUND(J22,0),"คะแนนต้องไม่เป็นทศนิยม",IF(J22&gt;5,"คะแนนต้องไม่มากกว่า 5","")))))</f>
        <v/>
      </c>
    </row>
    <row r="23" spans="1:62" ht="23" x14ac:dyDescent="0.5">
      <c r="A23" s="78" t="s">
        <v>15</v>
      </c>
      <c r="B23" s="170" t="str">
        <f>IF(AND(B24="",B25="",B26="",D24="",D25="",D26=""),"",IF($C$3=2,"ไม่ต้องประเมินตัวบ่งชี้นี้ในหลักสูตรระดับปริญญาโท",IF($C$3=3,"ไม่ต้องประเมินตัวบ่งชี้นี้ในหลักสูตรระดับปริญญาเอก","")))</f>
        <v/>
      </c>
      <c r="C23" s="171"/>
      <c r="D23" s="171"/>
      <c r="E23" s="171"/>
      <c r="F23" s="171"/>
      <c r="G23" s="171"/>
      <c r="H23" s="171"/>
      <c r="I23" s="171"/>
      <c r="J23" s="171"/>
      <c r="K23" s="172"/>
      <c r="L23" s="13" t="str">
        <f>IF(AND(D24="",D25="",D26=""),"",IF(I24="","ไม่มีผลลัพธ์ อาจารย์ประจำหลักสูตรที่มีคุณวุฒิปริญญาเอก",IF(I25="","ไม่มีผลลัพธ์ อาจารย์ประจำหลักสูตรที่ดำรงตำแหน่งทางวิชาการ",IF(I26="","ไม่มีผลลัพธ์ ผลงานทางวิชาการของอาจารย์ประจำหลักสูตร",IF(OR(D24&lt;&gt;D25,D24&lt;&gt;D26),"จำนวนอาจารย์ประจำหลักสูตร ต้องเท่ากัน","")))))</f>
        <v/>
      </c>
      <c r="M23" s="27"/>
    </row>
    <row r="24" spans="1:62" ht="23.25" customHeight="1" x14ac:dyDescent="0.45">
      <c r="A24" s="79" t="s">
        <v>54</v>
      </c>
      <c r="B24" s="153"/>
      <c r="C24" s="154"/>
      <c r="D24" s="28"/>
      <c r="E24" s="155" t="str">
        <f>IF(OR(B24="",B24&lt;0,D24="",D24&lt;=0),"","ร้อยละ")</f>
        <v/>
      </c>
      <c r="F24" s="156"/>
      <c r="G24" s="157" t="str">
        <f>IF(OR(B24="",B24&lt;0,D24="",D24&lt;=0),"",B24*100/D24)</f>
        <v/>
      </c>
      <c r="H24" s="156"/>
      <c r="I24" s="158" t="str">
        <f>IF(OR(B24="",D24=""),"",IF(OR(B24&lt;0,D24&lt;=0,AND(G24="",G24&lt;0,G24&gt;100)),"Error",IF(G24="","",IF(ROUND(G24*5/20,2)&gt;5,5,ROUND(G24*5/20,2)))))</f>
        <v/>
      </c>
      <c r="J24" s="169"/>
      <c r="K24" s="145" t="str">
        <f>IF(C3&lt;&gt;1,"",IF(OR(D24&lt;&gt;D25,D24&lt;&gt;D26),"Error",IF(OR(I24="",I24="Error",I25="",I25="Error",I26="",I26="Error"),"",ROUND(SUM(I24,I25,I26)/3,2))))</f>
        <v/>
      </c>
      <c r="L24" s="29" t="str">
        <f>IF(B24&lt;0,"จำนวนอาจารย์ประจำหลักสูตรคุณวุฒิปริญญาเอก ต้องไม่ติดลบ",IF(D24&lt;0,"จำนวนอาจารย์ประจำหลักสูตรทั้งหมด ต้องไม่ติดลบ",IF(AND(B24="",D24=""),"",IF(G24="","",IF(G24&gt;100,"ค่าร้อยละต้องไม่เกิน 100","")))))</f>
        <v/>
      </c>
    </row>
    <row r="25" spans="1:62" ht="23.25" customHeight="1" x14ac:dyDescent="0.45">
      <c r="A25" s="80" t="s">
        <v>55</v>
      </c>
      <c r="B25" s="153"/>
      <c r="C25" s="154"/>
      <c r="D25" s="28"/>
      <c r="E25" s="155" t="str">
        <f>IF(OR(B25="",B25&lt;0,D25="",D25&lt;=0),"","ร้อยละ")</f>
        <v/>
      </c>
      <c r="F25" s="156"/>
      <c r="G25" s="157" t="str">
        <f>IF(OR(B25="",B25&lt;0,D25="",D25&lt;=0),"",B25*100/D25)</f>
        <v/>
      </c>
      <c r="H25" s="156"/>
      <c r="I25" s="158" t="str">
        <f>IF(OR(B25="",D25=""),"",IF(OR(B25&lt;0,D25&lt;=0,AND(G25="",G25&lt;0,G25&gt;100)),"Error",IF(G25="","",IF(ROUND(G25*5/60,2)&gt;5,5,ROUND(G25*5/60,2)))))</f>
        <v/>
      </c>
      <c r="J25" s="169"/>
      <c r="K25" s="146"/>
      <c r="L25" s="29" t="str">
        <f>IF(B25&lt;0,"จำนวนอาจารย์ประจำหลักสูตรคุณวุฒิปริญญาเอก ต้องไม่ติดลบ",IF(D25&lt;0,"จำนวนอาจารย์ประจำหลักสูตรทั้งหมด ต้องไม่ติดลบ",IF(AND(B25="",D25=""),"",IF(G25="","",IF(G25&gt;100,"ค่าร้อยละต้องไม่เกิน 100","")))))</f>
        <v/>
      </c>
    </row>
    <row r="26" spans="1:62" ht="23.25" customHeight="1" x14ac:dyDescent="0.45">
      <c r="A26" s="81" t="s">
        <v>16</v>
      </c>
      <c r="B26" s="167"/>
      <c r="C26" s="168"/>
      <c r="D26" s="28"/>
      <c r="E26" s="155" t="str">
        <f>IF(OR(B26="",B26&lt;0,D26="",D26&lt;=0),"","ร้อยละ")</f>
        <v/>
      </c>
      <c r="F26" s="156"/>
      <c r="G26" s="157" t="str">
        <f>IF(OR(B26="",B26&lt;0,D26="",D26&lt;=0),"",B26*100/D26)</f>
        <v/>
      </c>
      <c r="H26" s="156"/>
      <c r="I26" s="158" t="str">
        <f>IF(OR(B26="",D26=""),"",IF(OR(B26&lt;0,D26&lt;=0),"Error",IF(G26="","",IF(ROUND(G26*5/20,2)&gt;5,5,ROUND(G26*5/20,2)))))</f>
        <v/>
      </c>
      <c r="J26" s="169"/>
      <c r="K26" s="147"/>
      <c r="L26" s="29" t="str">
        <f>IF(OR(B26="",D26=""),"",IF(B26&lt;0,"ผลรวมถ่วงน้ำหนัก ต้องไม่ติดลบ",IF(D26&lt;0,"จำนวนอาจารย์ประจำหลักสูตรทั้งหมด ต้องไม่ติดลบ","")))</f>
        <v/>
      </c>
    </row>
    <row r="27" spans="1:62" ht="23.25" customHeight="1" x14ac:dyDescent="0.5">
      <c r="A27" s="78" t="s">
        <v>17</v>
      </c>
      <c r="B27" s="150" t="str">
        <f>IF(AND(B28="",B29="",B30="",D28="",D29="",D30=""),"",IF($C$3=1,"ไม่ต้องประเมินตัวบ่งชี้นี้ในหลักสูตรระดับปริญญาตรี",IF($C$3=3,"ไม่ต้องประเมินตัวบ่งชี้นี้ในหลักสูตรระดับปริญญาเอก","")))</f>
        <v/>
      </c>
      <c r="C27" s="151"/>
      <c r="D27" s="151"/>
      <c r="E27" s="151"/>
      <c r="F27" s="151"/>
      <c r="G27" s="151"/>
      <c r="H27" s="151"/>
      <c r="I27" s="151"/>
      <c r="J27" s="151"/>
      <c r="K27" s="152"/>
      <c r="L27" s="13" t="str">
        <f>IF(AND(D28="",D29="",D30=""),"",IF(I28="","ไม่มีผลลัพธ์ อาจารย์ประจำหลักสูตรที่มีคุณวุฒิปริญญาเอก",IF(I29="","ไม่มีผลลัพธ์ อาจารย์ประจำหลักสูตรที่ดำรงตำแหน่งทางวิชาการ",IF(I30="","ไม่มีผลลัพธ์ ผลงานทางวิชาการของอาจารย์ประจำหลักสูตร",IF(OR(D28&lt;&gt;D29,D28&lt;&gt;D30),"จำนวนอาจารย์ประจำหลักสูตร ต้องเท่ากัน","")))))</f>
        <v/>
      </c>
    </row>
    <row r="28" spans="1:62" ht="23.25" customHeight="1" x14ac:dyDescent="0.45">
      <c r="A28" s="79" t="s">
        <v>56</v>
      </c>
      <c r="B28" s="153"/>
      <c r="C28" s="154"/>
      <c r="D28" s="28"/>
      <c r="E28" s="155" t="str">
        <f>IF(OR(B28="",B28&lt;0,D28="",D28&lt;=0),"","ร้อยละ")</f>
        <v/>
      </c>
      <c r="F28" s="156"/>
      <c r="G28" s="157" t="str">
        <f>IF(OR(B28="",B28&lt;0,D28="",D28&lt;=0),"",B28*100/D28)</f>
        <v/>
      </c>
      <c r="H28" s="156"/>
      <c r="I28" s="158" t="str">
        <f>IF(OR(B28="",D28=""),"",IF(OR(B28&lt;0,D28&lt;=0,AND(G28="",G28&lt;0,G28&gt;100)),"Error",IF(G28="","",IF(ROUND(G28*5/60,2)&gt;5,5,ROUND(G28*5/60,2)))))</f>
        <v/>
      </c>
      <c r="J28" s="169"/>
      <c r="K28" s="145" t="str">
        <f>IF(C3&lt;&gt;2,"",IF(OR(I28="",I28="Error",I29="",I29="Error",I30="",I30="Error"),"",IF(OR(D28&lt;&gt;D29,D28&lt;&gt;D30),"Error",ROUND(SUM(I28,I29,I30)/3,2))))</f>
        <v/>
      </c>
      <c r="L28" s="29" t="str">
        <f>IF(B28&lt;0,"จำนวนอาจารย์ประจำหลักสูตรคุณวุฒิปริญญาเอก ต้องไม่ติดลบ",IF(D28&lt;0,"จำนวนอาจารย์ประจำหลักสูตรทั้งหมด ต้องไม่ติดลบ",IF(B28&lt;&gt;ROUND(B28,0),"จำนวนอาจารย์ประจำหลักสูตร ต้องไม่เป็นทศนิยม",IF(AND(B28="",D28=""),"",IF(G28="","",IF(G28&gt;100,"ค่าร้อยละต้องไม่เกิน 100",""))))))</f>
        <v/>
      </c>
    </row>
    <row r="29" spans="1:62" ht="23.25" customHeight="1" x14ac:dyDescent="0.45">
      <c r="A29" s="80" t="s">
        <v>57</v>
      </c>
      <c r="B29" s="153"/>
      <c r="C29" s="154"/>
      <c r="D29" s="28"/>
      <c r="E29" s="155" t="str">
        <f>IF(OR(B29="",B29&lt;0,D29="",D29&lt;=0),"","ร้อยละ")</f>
        <v/>
      </c>
      <c r="F29" s="156"/>
      <c r="G29" s="157" t="str">
        <f>IF(OR(B29="",B29&lt;0,D29="",D29&lt;=0),"",B29*100/D29)</f>
        <v/>
      </c>
      <c r="H29" s="156"/>
      <c r="I29" s="158" t="str">
        <f>IF(OR(B29="",D29=""),"",IF(OR(B29&lt;0,D29&lt;=0,AND(G29="",G29&lt;0,G29&gt;100)),"Error",IF(G29="","",IF(ROUND(G29*5/80,2)&gt;5,5,ROUND(G29*5/80,2)))))</f>
        <v/>
      </c>
      <c r="J29" s="169"/>
      <c r="K29" s="146"/>
      <c r="L29" s="29" t="str">
        <f>IF(B29&lt;0,"จำนวนอาจารย์ประจำหลักสูตรคุณวุฒิปริญญาเอก ต้องไม่ติดลบ",IF(D29&lt;0,"จำนวนอาจารย์ประจำหลักสูตรทั้งหมด ต้องไม่ติดลบ",IF(B29&lt;&gt;ROUND(B29,0),"จำนวนอาจารย์ประจำหลักสูตร ต้องไม่เป็นทศนิยม",IF(AND(B29="",D29=""),"",IF(G29="","",IF(G29&gt;100,"ค่าร้อยละต้องไม่เกิน 100",""))))))</f>
        <v/>
      </c>
    </row>
    <row r="30" spans="1:62" ht="23.25" customHeight="1" x14ac:dyDescent="0.45">
      <c r="A30" s="82" t="s">
        <v>18</v>
      </c>
      <c r="B30" s="167"/>
      <c r="C30" s="168"/>
      <c r="D30" s="28"/>
      <c r="E30" s="155" t="str">
        <f>IF(OR(B30="",B30&lt;0,D30="",D30&lt;=0),"","ร้อยละ")</f>
        <v/>
      </c>
      <c r="F30" s="156"/>
      <c r="G30" s="157" t="str">
        <f>IF(OR(B30="",B30&lt;0,D30="",D30&lt;=0),"",B30*100/D30)</f>
        <v/>
      </c>
      <c r="H30" s="156"/>
      <c r="I30" s="158" t="str">
        <f>IF(OR(B30="",D30=""),"",IF(OR(B30&lt;0,D30&lt;=0),"Error",IF(G30="","",IF(ROUND(G30*5/40,2)&gt;5,5,ROUND(G30*5/40,2)))))</f>
        <v/>
      </c>
      <c r="J30" s="169"/>
      <c r="K30" s="147"/>
      <c r="L30" s="29" t="str">
        <f>IF(OR(B30="",D30=""),"",IF(B30&lt;0,"ผลรวมถ่วงน้ำหนัก ต้องไม่ติดลบ",IF(D30&lt;0,"จำนวนอาจารย์ประจำหลักสูตรทั้งหมด ต้องไม่ติดลบ","")))</f>
        <v/>
      </c>
    </row>
    <row r="31" spans="1:62" ht="23.25" customHeight="1" x14ac:dyDescent="0.5">
      <c r="A31" s="78" t="s">
        <v>19</v>
      </c>
      <c r="B31" s="150" t="str">
        <f>IF(AND(B32="",B33="",B34="",F35="",F36="",F37="",D32="",D33="",D34="",H35="",H36="",H37),"",IF($C$3=1,"ไม่ต้องประเมินตัวบ่งชี้นี้ในหลักสูตรระดับปริญญาตรี",IF($C$3=2,"ไม่ต้องประเมินตัวบ่งชี้นี้ในหลักสูตรระดับปริญญาโท","")))</f>
        <v/>
      </c>
      <c r="C31" s="151"/>
      <c r="D31" s="151"/>
      <c r="E31" s="151"/>
      <c r="F31" s="151"/>
      <c r="G31" s="151"/>
      <c r="H31" s="151"/>
      <c r="I31" s="151"/>
      <c r="J31" s="151"/>
      <c r="K31" s="152"/>
      <c r="L31" s="13" t="str">
        <f>IF(AND(D32="",D33="",D34=""),"",IF(I32="","ไม่มีผลลัพธ์ อาจารย์ประจำหลักสูตรที่มีคุณวุฒิปริญญาเอก",IF(I33="","ไม่มีผลลัพธ์ อาจารย์ประจำหลักสูตรที่ดำรงตำแหน่งทางวิชาการ",IF(I34="","ไม่มีผลลัพธ์ ผลงานทางวิชาการของอาจารย์ประจำหลักสูตร",IF(AND(I35="",I36="",I37=""),"ไม่มีผลลัพธ์ การอ้างอิงในฐานข้อมูล TCI และ SCOPUS ต่ออาจารย์ประจำหลักสูตร",IF(OR(D32&lt;&gt;D33,D32&lt;&gt;D34,AND(H35&lt;&gt;"",D32&lt;&gt;H35),AND(H36&lt;&gt;"",D32&lt;&gt;H36),AND(H37&lt;&gt;"",D32&lt;&gt;H37)),"จำนวนอาจารย์ประจำหลักสูตร ต้องเท่ากัน",""))))))</f>
        <v/>
      </c>
    </row>
    <row r="32" spans="1:62" ht="23.25" customHeight="1" x14ac:dyDescent="0.45">
      <c r="A32" s="79" t="s">
        <v>58</v>
      </c>
      <c r="B32" s="153"/>
      <c r="C32" s="154"/>
      <c r="D32" s="28"/>
      <c r="E32" s="155" t="str">
        <f t="shared" ref="E32:E33" si="0">IF(OR(B32="",B32&lt;0,D32="",D32&lt;=0,),"","ร้อยละ")</f>
        <v/>
      </c>
      <c r="F32" s="156"/>
      <c r="G32" s="157" t="str">
        <f t="shared" ref="G32:G33" si="1">IF(OR(B32="",B32&lt;0,D32="",D32&lt;=0,),"",B32*100/D32)</f>
        <v/>
      </c>
      <c r="H32" s="156"/>
      <c r="I32" s="158" t="str">
        <f>IF(OR(B32="",D32=""),"",IF(OR(B32&lt;0,D32&lt;0,AND(G32="",G32&lt;0,G32&gt;100)),"Error",IF(G32="","",IF(ROUND(G32*5/100,2)&gt;5,5,ROUND(G32*5/100,2)))))</f>
        <v/>
      </c>
      <c r="J32" s="159"/>
      <c r="K32" s="145" t="str">
        <f>IF(C3&lt;&gt;3,"",IF(OR(I32="",I32="Error",I33="",I33="Error",I35="Error",I36="Error",I37="Error",AND(I35="",I36="",I37="",I37="")),"",IF(OR(D32&lt;&gt;D33,D32&lt;&gt;D34,AND(H35&lt;&gt;"",D32&lt;&gt;H35),AND(H36&lt;&gt;"",D32&lt;&gt;H36),AND(H37&lt;&gt;"",D32&lt;&gt;H37)),"Error",ROUND(SUM(I32,I33,I34,SUM(I35,I36,I37)/COUNT(I35,I36,I37))/4,2))))</f>
        <v/>
      </c>
      <c r="L32" s="29" t="str">
        <f>IF(B32&lt;0,"จำนวนอาจารย์ประจำหลักสูตรคุณวุฒิปริญญาเอก ต้องไม่ติดลบ",IF(D32&lt;0,"จำนวนอาจารย์ประจำหลักสูตรทั้งหมด ต้องไม่ติดลบ",IF(B32&lt;&gt;ROUND(B32,0),"จำนวนอาจารย์ประจำหลักสูตร ต้องไม่เป็นทศนิยม",IF(AND(B32="",D32=""),"",IF(G32="","",IF(G32&gt;100,"ค่าร้อยละต้องไม่เกิน 100",""))))))</f>
        <v/>
      </c>
    </row>
    <row r="33" spans="1:101" ht="23.25" customHeight="1" x14ac:dyDescent="0.45">
      <c r="A33" s="80" t="s">
        <v>59</v>
      </c>
      <c r="B33" s="153"/>
      <c r="C33" s="154"/>
      <c r="D33" s="28"/>
      <c r="E33" s="155" t="str">
        <f t="shared" si="0"/>
        <v/>
      </c>
      <c r="F33" s="156"/>
      <c r="G33" s="157" t="str">
        <f t="shared" si="1"/>
        <v/>
      </c>
      <c r="H33" s="156"/>
      <c r="I33" s="158" t="str">
        <f>IF(OR(B33="",D33=""),"",IF(OR(B33&lt;0,D33&lt;0,AND(G33="",G33&lt;0,G33&gt;100)),"Error",IF(G33="","",IF(ROUND(G33*5/100,2)&gt;5,5,ROUND(G33*5/100,2)))))</f>
        <v/>
      </c>
      <c r="J33" s="159"/>
      <c r="K33" s="146"/>
      <c r="L33" s="29" t="str">
        <f>IF(B33&lt;0,"จำนวนอาจารย์ประจำหลักสูตรคุณวุฒิปริญญาเอก ต้องไม่ติดลบ",IF(D33&lt;0,"จำนวนอาจารย์ประจำหลักสูตรทั้งหมด ต้องไม่ติดลบ",IF(B33&lt;&gt;ROUND(B33,0),"จำนวนอาจารย์ประจำหลักสูตร ต้องไม่เป็นทศนิยม",IF(AND(B33="",D33=""),"",IF(G33="","",IF(G33&gt;100,"ค่าร้อยละต้องไม่เกิน 100",""))))))</f>
        <v/>
      </c>
    </row>
    <row r="34" spans="1:101" ht="23.25" customHeight="1" x14ac:dyDescent="0.45">
      <c r="A34" s="81" t="s">
        <v>20</v>
      </c>
      <c r="B34" s="167"/>
      <c r="C34" s="168"/>
      <c r="D34" s="28"/>
      <c r="E34" s="155" t="str">
        <f>IF(OR(B34="",B34&lt;0,D34="",D34&lt;=0,),"","ร้อยละ")</f>
        <v/>
      </c>
      <c r="F34" s="156"/>
      <c r="G34" s="157" t="str">
        <f>IF(OR(B34="",B34&lt;0,D34="",D34&lt;=0,),"",B34*100/D34)</f>
        <v/>
      </c>
      <c r="H34" s="156"/>
      <c r="I34" s="158" t="str">
        <f>IF(OR(B34="",D34=""),"",IF(OR(B34&lt;0,D34&lt;0),"Error",IF(G34="","",IF(ROUND(G34*5/60,2)&gt;5,5,ROUND(G34*5/60,2)))))</f>
        <v/>
      </c>
      <c r="J34" s="159"/>
      <c r="K34" s="146"/>
      <c r="L34" s="29" t="str">
        <f>IF(OR(B34="",D34=""),"",IF(B34&lt;0,"ผลรวมถ่วงน้ำหนัก ต้องไม่ติดลบ",IF(D34&lt;0,"จำนวนอาจารย์ประจำหลักสูตรทั้งหมด ต้องไม่ติดลบ","")))</f>
        <v/>
      </c>
    </row>
    <row r="35" spans="1:101" ht="23.25" customHeight="1" x14ac:dyDescent="0.45">
      <c r="A35" s="30" t="s">
        <v>21</v>
      </c>
      <c r="B35" s="164" t="s">
        <v>22</v>
      </c>
      <c r="C35" s="164"/>
      <c r="D35" s="164"/>
      <c r="E35" s="164"/>
      <c r="F35" s="162"/>
      <c r="G35" s="163"/>
      <c r="H35" s="28"/>
      <c r="I35" s="158" t="str">
        <f>IF(OR(F35="",H35=""),"",IF(OR(F35&lt;0,F35&lt;&gt;ROUND(F35,0),H35&lt;=0),"Error",IF(ROUND(F35/H35*5/2.5,2)&gt;5,5,ROUND(F35/H35*5/2.5,2))))</f>
        <v/>
      </c>
      <c r="J35" s="159"/>
      <c r="K35" s="146"/>
      <c r="L35" s="29" t="str">
        <f>IF(OR(F35="",H35=""),"",IF(F35&lt;0,"จำนวนบทความที่ได้รับการอ้างอิง ต้องไม่ติดลบ",IF(F35&lt;&gt;ROUND(F35,0),"จำนวนบทความที่ได้รับการอ้างอิง ต้องไม่เป็นทศนิยม",IF(H35&lt;0,"จำนวนอาจารย์ประจำหลักสูตรทั้งหมด ต้องไม่ติดลบ",""))))</f>
        <v/>
      </c>
    </row>
    <row r="36" spans="1:101" ht="23.25" customHeight="1" x14ac:dyDescent="0.45">
      <c r="A36" s="83" t="s">
        <v>23</v>
      </c>
      <c r="B36" s="165" t="s">
        <v>24</v>
      </c>
      <c r="C36" s="166"/>
      <c r="D36" s="166"/>
      <c r="E36" s="166"/>
      <c r="F36" s="162"/>
      <c r="G36" s="163"/>
      <c r="H36" s="28"/>
      <c r="I36" s="158" t="str">
        <f>IF(OR(F36="",H36=""),"",IF(OR(F36&lt;0,F36&lt;&gt;ROUND(F36,0),H36&lt;=0),"Error",IF(ROUND(F36/H36*5/3,2)&gt;5,5,ROUND(F36/H36*5/3,2))))</f>
        <v/>
      </c>
      <c r="J36" s="159"/>
      <c r="K36" s="146"/>
      <c r="L36" s="29" t="str">
        <f>IF(OR(F36="",H36=""),"",IF(F36&lt;0,"จำนวนบทความที่ได้รับการอ้างอิง ต้องไม่ติดลบ",IF(F36&lt;&gt;ROUND(F36,0),"จำนวนบทความที่ได้รับการอ้างอิง ต้องไม่เป็นทศนิยม",IF(H36&lt;0,"จำนวนอาจารย์ประจำหลักสูตรทั้งหมด ต้องไม่ติดลบ",""))))</f>
        <v/>
      </c>
    </row>
    <row r="37" spans="1:101" ht="23.25" customHeight="1" x14ac:dyDescent="0.45">
      <c r="A37" s="83"/>
      <c r="B37" s="160" t="s">
        <v>25</v>
      </c>
      <c r="C37" s="161"/>
      <c r="D37" s="161"/>
      <c r="E37" s="161"/>
      <c r="F37" s="162"/>
      <c r="G37" s="163"/>
      <c r="H37" s="28"/>
      <c r="I37" s="158" t="str">
        <f>IF(OR(F37="",H37=""),"",IF(OR(F37&lt;0,F37&lt;&gt;ROUND(F37,0),H37&lt;=0),"Error",IF(ROUND(F37/H37*5/0.25,2)&gt;5,5,ROUND(F37/H37*5/0.25,2))))</f>
        <v/>
      </c>
      <c r="J37" s="159"/>
      <c r="K37" s="147"/>
      <c r="L37" s="29" t="str">
        <f>IF(OR(F37="",H37=""),"",IF(F37&lt;0,"จำนวนบทความที่ได้รับการอ้างอิง ต้องไม่ติดลบ",IF(F37&lt;&gt;ROUND(F37,0),"จำนวนบทความที่ได้รับการอ้างอิง ต้องไม่เป็นทศนิยม",IF(H37&lt;0,"จำนวนอาจารย์ประจำหลักสูตรทั้งหมด ต้องไม่ติดลบ",""))))</f>
        <v/>
      </c>
    </row>
    <row r="38" spans="1:101" ht="23.25" customHeight="1" x14ac:dyDescent="0.45">
      <c r="A38" s="77" t="s">
        <v>26</v>
      </c>
      <c r="B38" s="140"/>
      <c r="C38" s="140"/>
      <c r="D38" s="140"/>
      <c r="E38" s="140"/>
      <c r="F38" s="140"/>
      <c r="G38" s="140"/>
      <c r="H38" s="140"/>
      <c r="I38" s="140"/>
      <c r="J38" s="24"/>
      <c r="K38" s="25" t="str">
        <f>IF(J38="","",IF(OR(J38&lt;0,J38&lt;&gt;ROUND(J38,0),J38&gt;5),"Error",J38))</f>
        <v/>
      </c>
      <c r="L38" s="26" t="str">
        <f>IF(J38="","",(IF(J38&lt;0,"ตะแนนต้องไม่ติดลบ",IF(J38&lt;&gt;ROUND(J38,0),"คะแนนต้องไม่เป็นทศนิยม",IF(J38&gt;5,"คะแนนต้องไม่มากกว่า 5","")))))</f>
        <v/>
      </c>
    </row>
    <row r="39" spans="1:101" ht="23.25" customHeight="1" x14ac:dyDescent="0.45">
      <c r="A39" s="77" t="s">
        <v>27</v>
      </c>
      <c r="B39" s="140"/>
      <c r="C39" s="140"/>
      <c r="D39" s="140"/>
      <c r="E39" s="140"/>
      <c r="F39" s="140"/>
      <c r="G39" s="140"/>
      <c r="H39" s="140"/>
      <c r="I39" s="140"/>
      <c r="J39" s="24"/>
      <c r="K39" s="25" t="str">
        <f>IF(J39="","",IF(OR(J39&lt;0,J39&lt;&gt;ROUND(J39,0),J39&gt;5),"Error",J39))</f>
        <v/>
      </c>
      <c r="L39" s="26" t="str">
        <f>IF(J39="","",(IF(J39&lt;0,"ตะแนนต้องไม่ติดลบ",IF(J39&lt;&gt;ROUND(J39,0),"คะแนนต้องไม่เป็นทศนิยม",IF(J39&gt;5,"คะแนนต้องไม่มากกว่า 5","")))))</f>
        <v/>
      </c>
    </row>
    <row r="40" spans="1:101" ht="23.25" customHeight="1" x14ac:dyDescent="0.45">
      <c r="A40" s="77" t="s">
        <v>28</v>
      </c>
      <c r="B40" s="140"/>
      <c r="C40" s="140"/>
      <c r="D40" s="140"/>
      <c r="E40" s="140"/>
      <c r="F40" s="140"/>
      <c r="G40" s="140"/>
      <c r="H40" s="140"/>
      <c r="I40" s="140"/>
      <c r="J40" s="24"/>
      <c r="K40" s="25" t="str">
        <f>IF(J40="","",IF(OR(J40&lt;0,J40&lt;&gt;ROUND(J40,0),J40&gt;5),"Error",J40))</f>
        <v/>
      </c>
      <c r="L40" s="26" t="str">
        <f>IF(J40="","",(IF(J40&lt;0,"ตะแนนต้องไม่ติดลบ",IF(J40&lt;&gt;ROUND(J40,0),"คะแนนต้องไม่เป็นทศนิยม",IF(J40&gt;5,"คะแนนต้องไม่มากกว่า 5","")))))</f>
        <v/>
      </c>
    </row>
    <row r="41" spans="1:101" ht="23.25" customHeight="1" x14ac:dyDescent="0.45">
      <c r="A41" s="77" t="s">
        <v>29</v>
      </c>
      <c r="B41" s="140"/>
      <c r="C41" s="140"/>
      <c r="D41" s="140"/>
      <c r="E41" s="140"/>
      <c r="F41" s="140"/>
      <c r="G41" s="140"/>
      <c r="H41" s="140"/>
      <c r="I41" s="140"/>
      <c r="J41" s="24"/>
      <c r="K41" s="25" t="str">
        <f>IF(J41="","",IF(OR(J41&lt;0,J41&lt;&gt;ROUND(J41,0),J41&gt;5),"Error",J41))</f>
        <v/>
      </c>
      <c r="L41" s="26" t="str">
        <f>IF(J41="","",(IF(J41&lt;0,"ตะแนนต้องไม่ติดลบ",IF(J41&lt;&gt;ROUND(J41,0),"คะแนนต้องไม่เป็นทศนิยม",IF(J41&gt;5,"คะแนนต้องไม่มากกว่า 5","")))))</f>
        <v/>
      </c>
    </row>
    <row r="42" spans="1:101" ht="23.25" customHeight="1" x14ac:dyDescent="0.45">
      <c r="A42" s="141" t="s">
        <v>30</v>
      </c>
      <c r="B42" s="31"/>
      <c r="C42" s="31"/>
      <c r="D42" s="31"/>
      <c r="E42" s="31"/>
      <c r="F42" s="63"/>
      <c r="G42" s="66"/>
      <c r="H42" s="67"/>
      <c r="I42" s="68"/>
      <c r="J42" s="69"/>
      <c r="K42" s="145" t="str">
        <f>IF(OR(E44="",F44="",I44=""),"",IF(OR(L43&lt;&gt;"",E44&lt;0,E44&lt;&gt;ROUND(E44,0),F44&lt;0,F44&lt;&gt;ROUND(F44,0),E44&gt;F44),"Error",IF(AND(E44&lt;&gt;"",F44&lt;&gt;"",I44&gt;100),"Error",IF(OR(E44="",F44="",I44="Error"),"",IF(OR(E44="",F44="",E44&gt;F44),"",IF(OR(E44&lt;0,F44&lt;0,I44="",I44&lt;0,I44&gt;100),"Error",IF(I44="","",IF(I44=100,5,IF(AND(I44&gt;=95,I44&lt;100),4.75,IF(AND(I44&gt;=90,I44&lt;95),4.5,IF(AND(I44&gt;=80.01,I44&lt;90),4,IF(I44=80,3.5,0))))))))))))</f>
        <v/>
      </c>
      <c r="L42" s="26" t="str">
        <f>IF(D44="","ในช่อง D42 ใส่เลข 1 ตือ 5 ข้อแรกต้องผ่าน หรือ 2 คือ 5 ข้อแรกไม่จำเป็นต้องผ่านทุกข้อ หรือ 3 จำนวนข้อตามมติสภาสถาบัน",IF(AND(D44&lt;&gt;1,D44&lt;&gt;2,D44&lt;&gt;3),"ในช่อง D42 ต้องใส่เลข 1, 2 หรือ 3 เท่านั้น",IF(AND(A2="",COUNTIF(B42:J42,"")=9,COUNTIF(B43:J43,"")=9,COUNTIF(B44:C44,"")=2,F44=""),"",IF(D44=3,CW44,IF(C3=1,CW43,IF(OR(C3=2,C3=3),CW42,"ต้องใส่จำนวนข้อตามตัวบ่งชี้การดำเนินงานตาม TQF ที่ระบุไว้ในหลักสูตรแต่ละปี"))))))</f>
        <v/>
      </c>
      <c r="CA42" s="86" t="str">
        <f>IF(AND(OR(C3=2,C3=3),B42=""),"ใส่ผลประเมินเกณฑ์ข้อ 1",IF(OR(B42="Y",B42="N"),"","เกณฑ์ข้อ 1 ต้องใส่ Y หรือ N"))</f>
        <v>เกณฑ์ข้อ 1 ต้องใส่ Y หรือ N</v>
      </c>
      <c r="CB42" s="86" t="str">
        <f>IF(AND(OR(C3=2,C3=3),C42=""),"ใส่ผลประเมินเกณฑ์ข้อ 2",IF(OR(C42="Y",C42="N"),"","เกณฑ์ข้อ 2 ต้องใส่ Y หรือ N"))</f>
        <v>เกณฑ์ข้อ 2 ต้องใส่ Y หรือ N</v>
      </c>
      <c r="CC42" s="86" t="str">
        <f>IF(AND(OR(C3=2,C3=3),D42=""),"ใส่ผลประเมินเกณฑ์ข้อ 3",IF(OR(D42="Y",D42="N"),"","เกณฑ์ข้อ 3 ต้องใส่ Y หรือ N"))</f>
        <v>เกณฑ์ข้อ 3 ต้องใส่ Y หรือ N</v>
      </c>
      <c r="CD42" s="86" t="str">
        <f>IF(AND(OR(C3=2,C3=3),E42=""),"ใส่ผลประเมินเกณฑ์ข้อ 4",IF(OR(E42="Y",E42="N"),"","เกณฑ์ข้อ 4 ต้องใส่ Y หรือ N"))</f>
        <v>เกณฑ์ข้อ 4 ต้องใส่ Y หรือ N</v>
      </c>
      <c r="CE42" s="86" t="str">
        <f>IF(AND(OR(C3=2,C3=3),F42=""),"ใส่ผลประเมินเกณฑ์ข้อ 5",IF(OR(F42="Y",F42="N"),"","เกณฑ์ข้อ 5 ต้องใส่ Y หรือ N"))</f>
        <v>เกณฑ์ข้อ 5 ต้องใส่ Y หรือ N</v>
      </c>
      <c r="CF42" s="86" t="str">
        <f>IF(F44&lt;7,"",IF(AND(OR(C3=2,C3=3),G42=""),"ใส่ผลประเมินเกณฑ์ข้อ 6",IF(OR(G42="Y",G42="N"),"","เกณฑ์ข้อ 6 ต้องใส่ Y หรือ N")))</f>
        <v/>
      </c>
      <c r="CG42" s="86" t="str">
        <f>IF(AND(F44&lt;8,H42=""),"",IF(AND(F44=9,OR(H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H42=""),"ใส่ผลประเมินเกณฑ์ข้อ 7 เป็น Y, N หรือเคาะ space bar",IF(OR(C3=2,C3=3,H42="Y",H42="N",H42=" "),"","เกณฑ์ข้อ 7 ต้องใส่ Y หรือ N หรือเคาะ space bar"))))</f>
        <v/>
      </c>
      <c r="CH42" s="86" t="str">
        <f>IF(AND(F44&lt;9,I42=""),"",IF(AND(F44=9,OR(I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I42=""),"ใส่ผลประเมินเกณฑ์ข้อ 8 เป็น Y, N หรือเคาะ space bar",IF(OR(C3=2,C3=3,I42="Y",I42="N",I42=" "),"","เกณฑ์ข้อ 8 ต้องใส่ Y หรือ N หรือเคาะ space bar"))))</f>
        <v/>
      </c>
      <c r="CI42" s="86" t="str">
        <f>IF(F44&lt;9,"",IF(AND(OR(C3=2,C3=3),J42=""),"ใส่ผลประเมินเกณฑ์ข้อ 9",IF(OR(J42="Y",J42="N"),"","เกณฑ์ข้อ 9 ต้องใส่ Y หรือ N")))</f>
        <v/>
      </c>
      <c r="CJ42" s="86" t="str">
        <f>IF(F44&lt;10,"",IF(AND(OR(C3=2,C3=3),B43=""),"ใส่ผลประเมินเกณฑ์ข้อ 10 เป็น Y, N หรือเคาะ space bar",IF(OR(B43="Y",B43="N",B43=" "),"","เกณฑ์ข้อ 10 ต้องใส่ Y หรือ N หรือเคาะ space bar")))</f>
        <v/>
      </c>
      <c r="CK42" s="86" t="str">
        <f>IF(F44&lt;11,"",IF(AND(F44=11,OR(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F44=11,C43=""),"ใส่ผลประเมินเกณฑ์ข้อ 11",IF(OR(C43="Y",C43="N"),"","เกณฑ์ข้อ 11 ต้องใส่ Y หรือ N"))))</f>
        <v/>
      </c>
      <c r="CL42" s="93" t="str">
        <f>IF(F44&lt;12,"",IF(AND(F44=12,OR(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F44=12,D43=""),"ใส่ผลประเมินเกณฑ์ข้อ 12",IF(OR(D43="Y",D43="N"),"","เกณฑ์ข้อ 12 ต้องใส่ Y หรือ N"))))</f>
        <v/>
      </c>
      <c r="CM42" s="86" t="str">
        <f>IF(F44&lt;13,"",IF(AND(F44=13,OR(F43&lt;&gt;"",G43&lt;&gt;"",H43&lt;&gt;"",I43&lt;&gt;"",J43&lt;&gt;"",B44&lt;&gt;"",C44&lt;&gt;"")),"ประเมินตัวบ่งชี้ที่ไม่ได้ระบุไว้ในหลักสูตรแต่ละปี",IF(AND(OR(C3=2,C3=3),F44=13,E43=""),"ใส่ผลประเมินเกณฑ์ข้อ 13",IF(OR(E43="Y",E43="N"),"","เกณฑ์ข้อ 13 ต้องใส่ Y หรือ N"))))</f>
        <v/>
      </c>
      <c r="CN42" s="86" t="str">
        <f>IF(F44&lt;14,"",IF(AND(F44=14,OR(G43&lt;&gt;"",H43&lt;&gt;"",I43&lt;&gt;"",J43&lt;&gt;"",B44&lt;&gt;"",C44&lt;&gt;"")),"ประเมินตัวบ่งชี้ที่ไม่ได้ระบุไว้ในหลักสูตรแต่ละปี",IF(AND(OR(C3=2,C3=3),F44=14,F43=""),"ใส่ผลประเมินเกณฑ์ข้อ 14",IF(OR(F43="Y",F43="N"),"","เกณฑ์ข้อ 14 ต้องใส่ Y หรือ N"))))</f>
        <v/>
      </c>
      <c r="CO42" s="86" t="str">
        <f>IF(F44&lt;15,"",IF(AND(F44=15,OR(H43&lt;&gt;"",I43&lt;&gt;"",J43&lt;&gt;"",B44&lt;&gt;"",C44&lt;&gt;"")),"ประเมินตัวบ่งชี้ที่ไม่ได้ระบุไว้ในหลักสูตรแต่ละปี",IF(AND(OR(C3=2,C3=3),F44=15,G43=""),"ใส่ผลประเมินเกณฑ์ข้อ 15",IF(OR(G43="Y",G43="N"),"","เกณฑ์ข้อ 15 ต้องใส่ Y หรือ N"))))</f>
        <v/>
      </c>
      <c r="CP42" s="86" t="str">
        <f>IF(F44&lt;16,"",IF(AND(F44=16,OR(I43&lt;&gt;"",J43&lt;&gt;"",B44&lt;&gt;"",C44&lt;&gt;"")),"ประเมินตัวบ่งชี้ที่ไม่ได้ระบุไว้ในหลักสูตรแต่ละปี",IF(AND(OR(C3=2,C3=3),F44=16,H43=""),"ใส่ผลประเมินเกณฑ์ข้อ 16",IF(OR(H43="Y",H43="N"),"","เกณฑ์ข้อ 16 ต้องใส่ Y หรือ N"))))</f>
        <v/>
      </c>
      <c r="CQ42" s="86" t="str">
        <f>IF(F44&lt;17,"",IF(AND(F44=17,OR(J43&lt;&gt;"",B44&lt;&gt;"",C44&lt;&gt;"")),"ประเมินตัวบ่งชี้ที่ไม่ได้ระบุไว้ในหลักสูตรแต่ละปี",IF(AND(OR(C3=2,C3=3),F44=17,I43=""),"ใส่ผลประเมินเกณฑ์ข้อ 17",IF(OR(I43="Y",I43="N"),"","เกณฑ์ข้อ 17 ต้องใส่ Y หรือ N"))))</f>
        <v/>
      </c>
      <c r="CR42" s="86" t="str">
        <f>IF(F44&lt;18,"",IF(AND(F44=18,OR(B44&lt;&gt;"",C44&lt;&gt;"")),"ประเมินตัวบ่งชี้ที่ไม่ได้ระบุไว้ในหลักสูตรแต่ละปี",IF(AND(OR(C3=2,C3=3),F44=18,J43=""),"ใส่ผลประเมินเกณฑ์ข้อ 18",IF(OR(J43="Y",J43="N"),"","เกณฑ์ข้อ 18 ต้องใส่ Y หรือ N"))))</f>
        <v/>
      </c>
      <c r="CS42" s="86" t="str">
        <f>IF(F44&lt;19,"",IF(AND(F44=19,OR(C44&lt;&gt;"")),"ประเมินตัวบ่งชี้ที่ไม่ได้ระบุไว้ในหลักสูตรแต่ละปี",IF(AND(OR(C3=2,C3=3),F44=19,B44=""),"ใส่ผลประเมินเกณฑ์ข้อ 19",IF(OR(B44="Y",B44="N"),"","เกณฑ์ข้อ 19 ต้องใส่ Y หรือ N"))))</f>
        <v/>
      </c>
      <c r="CT42" s="86" t="str">
        <f>IF(F44&lt;20,"",IF(AND(OR(C3=2,C3=3),F44=20,C44=""),"ใส่ผลประเมินเกณฑ์ข้อ 20",IF(OR(C44="Y",C44="N"),"","เกณฑ์ข้อ 20 ต้องใส่ Y หรือ N")))</f>
        <v/>
      </c>
      <c r="CU42" s="94" t="str">
        <f>IF(AND(CA42="",CB42="",CC42="",CD42="",CE42="",CF42="",CG42="",CH42="",CI42="",CJ42="",CK42="",CL42="",CM42=""),"",IF(CA42&lt;&gt;"",CA42,IF(CB42&lt;&gt;"",CB42,IF(CC42&lt;&gt;"",CC42,IF(CD42&lt;&gt;"",CD42,IF(CE42&lt;&gt;"",CE42,IF(CF42&lt;&gt;"",CF42,IF(CG42&lt;&gt;"",CG42,IF(CH42&lt;&gt;"",CH42,IF(CI42&lt;&gt;"",CI42,IF(CJ42&lt;&gt;"",CJ42,IF(CK42&lt;&gt;"",CK42,IF(CL42&lt;&gt;"",CL42,IF(CM42&lt;&gt;"",CM42,"Error"))))))))))))))</f>
        <v>เกณฑ์ข้อ 1 ต้องใส่ Y หรือ N</v>
      </c>
      <c r="CV42" s="95" t="str">
        <f>IF(AND(CN42="",CO42="",CP42="",CQ42="",CR42="",CS42="",CT42=""),"",IF(CN42&lt;&gt;"",CN42,IF(CO42&lt;&gt;"",CO42,IF(CP42&lt;&gt;"",CP42,IF(CQ42&lt;&gt;"",CQ42,IF(CR42&lt;&gt;"",CR42,IF(CS42&lt;&gt;"",CS42,IF(CT42&lt;&gt;"",CT42))))))))</f>
        <v/>
      </c>
      <c r="CW42" s="64" t="str">
        <f>IF(AND(CU42="",CV42=""),"",IF(CU42&lt;&gt;"",CU42,IF(CV42&lt;&gt;"",CV42,"Error")))</f>
        <v>เกณฑ์ข้อ 1 ต้องใส่ Y หรือ N</v>
      </c>
    </row>
    <row r="43" spans="1:101" ht="23.25" customHeight="1" x14ac:dyDescent="0.45">
      <c r="A43" s="142"/>
      <c r="B43" s="4"/>
      <c r="C43" s="5"/>
      <c r="D43" s="6"/>
      <c r="E43" s="65"/>
      <c r="F43" s="16"/>
      <c r="G43" s="72"/>
      <c r="H43" s="73"/>
      <c r="I43" s="74"/>
      <c r="J43" s="75"/>
      <c r="K43" s="146"/>
      <c r="L43" s="29" t="str">
        <f>IF(AND(E44="",F44=""),"",IF(AND(E44&lt;&gt;"",F44&lt;&gt;"",E44&gt;F44),"จำนวนข้อของผลการดำเนินงานตามตัวบ่งชี้ ต้องไม่มากกว่าจำนวนข้อตามตัวบ่งชี้ที่ระบุไว้ในหลักสูตรแต่ละปี",IF(E44&lt;0,"จำนวนข้อของผลการดำเนินงานตามตัวบ่งชี้ ต้องไม่ติดลบ",IF(F44&lt;0,"จำนวนข้อตามตัวบ่งชี้ที่ระบุไว้ในหลักสูตรแต่ละปี ต้องไม่ติดลบ",IF(F44&lt;&gt;ROUND(F44,0),"จำนวนข้อตามตัวบ่งชี้ที่ระบุไว้ในหลักสูตรแต่ละปี ต้องไม่เป็นทศนิยม",IF(F44&gt;21,"จำนวนข้อตามตัวบ่งชี้ที่ระบุไว้ในหลักสูตรแต่ละปี ต้องไม่มากกว่าที่ระบุในหลักสูตร",IF(AND(E44="",F44=""),"",IF(I44="","",IF(I44&gt;100,"ค่าร้อยละต้องไม่เกิน 100",IF(OR(AND(F44=9,H42="",C43="",D43="",E43="",F43="",G43="",H43="",I43="",J43="",B44="",C44=""),AND(F44=10,C43="",D43="",E43="",F43="",G43="",H43="",I43="",J43="",B44="",C44=""),AND(F44=11,D43="",E43="",F43="",G43="",H43="",I43="",J43="",B44="",C44=""),AND(F44=12,E43="",F43="",G43="",H43="",I43="",J43="",B44="",C44=""),AND(F44=13,F43="",G43="",H43="",I43="",J43="",B44="",C44=""),AND(F44=14,G43="",H43="",I43="",J43="",B44="",C44=""),AND(F44=15,H43="",I43="",J43="",B44="",C44=""),AND(F44=16,I43="",J43="",B44="",C44=""),AND(F44=17,J43="",B44="",C44=""),AND(F44=18,B44="",C44=""),AND(F44=19,C44=""),F44=20),"",IF(D44=3,"","จำนวนข้อของผลการดำเนินงานทั้งหมด มากกว่าที่ระบุไว้ในหลักสูตรแต่ละปี")))))))))))</f>
        <v/>
      </c>
      <c r="CA43" s="86" t="str">
        <f>IF(AND(C3=1,B42=""),"ใส่ผลประเมินเกณฑ์ข้อ 1",IF(OR(B42="Y",B42="N"),"","เกณฑ์ข้อ 1 ต้องใส่ Y หรือ N"))</f>
        <v>เกณฑ์ข้อ 1 ต้องใส่ Y หรือ N</v>
      </c>
      <c r="CB43" s="86" t="str">
        <f>IF(AND(C3=1,C42=""),"ใส่ผลประเมินเกณฑ์ข้อ 2",IF(OR(C42="Y",C42="N"),"","เกณฑ์ข้อ 2 ต้องใส่ Y หรือ N"))</f>
        <v>เกณฑ์ข้อ 2 ต้องใส่ Y หรือ N</v>
      </c>
      <c r="CC43" s="86" t="str">
        <f>IF(AND(C3=1,D42=""),"ใส่ผลประเมินเกณฑ์ข้อ 3",IF(OR(D42="Y",D42="N"),"","เกณฑ์ข้อ 3 ต้องใส่ Y หรือ N"))</f>
        <v>เกณฑ์ข้อ 3 ต้องใส่ Y หรือ N</v>
      </c>
      <c r="CD43" s="86" t="str">
        <f>IF(AND(C3=1,E42=""),"ใส่ผลประเมินเกณฑ์ข้อ 4",IF(OR(E42="Y",E42="N"),"","เกณฑ์ข้อ 4 ต้องใส่ Y หรือ N"))</f>
        <v>เกณฑ์ข้อ 4 ต้องใส่ Y หรือ N</v>
      </c>
      <c r="CE43" s="86" t="str">
        <f>IF(AND(C3=1,F42=""),"ใส่ผลประเมินเกณฑ์ข้อ 5",IF(OR(F42="Y",F42="N"),"","เกณฑ์ข้อ 5 ต้องใส่ Y หรือ N"))</f>
        <v>เกณฑ์ข้อ 5 ต้องใส่ Y หรือ N</v>
      </c>
      <c r="CF43" s="86" t="str">
        <f>IF(F44&lt;7,"",IF(AND(C3=1,G42=""),"ใส่ผลประเมินเกณฑ์ข้อ 6",IF(OR(G42="Y",G42="N"),"","เกณฑ์ข้อ 6 ต้องใส่ Y หรือ N")))</f>
        <v/>
      </c>
      <c r="CG43" s="86" t="str">
        <f>IF(AND(F44&lt;8,H42=""),"",IF(AND(F44=9,OR(H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C3=1,H42=""),"ใส่ผลประเมินเกณฑ์ข้อ 7 เป็น Y, N หรือเคาะ space bar",IF(OR(H42="Y",H42="N",H42=" "),"","เกณฑ์ข้อ 7 ต้องใส่ Y หรือ N หรือเคาะ space bar"))))</f>
        <v/>
      </c>
      <c r="CH43" s="86" t="str">
        <f>IF(AND(F44&lt;9,I42=""),"",IF(AND(F44=9,OR(I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C3=1,I42=""),"ใส่ผลประเมินเกณฑ์ข้อ 8 เป็น Y, N หรือเคาะ space bar",IF(OR(I42="Y",I42="N",I42=" "),"","เกณฑ์ข้อ 8 ต้องใส่ Y หรือ N หรือเคาะ space bar"))))</f>
        <v/>
      </c>
      <c r="CI43" s="86" t="str">
        <f>IF(F44&lt;9,"",IF(AND(C3=1,J42=""),"ใส่ผลประเมินเกณฑ์ข้อ 9",IF(OR(J42="Y",J42="N"),"","เกณฑ์ข้อ 9 ต้องใส่ Y หรือ N")))</f>
        <v/>
      </c>
      <c r="CJ43" s="86" t="str">
        <f>IF(F44&lt;10,"",IF(AND(C3=1,B43=""),"ใส่ผลประเมินเกณฑ์ข้อ 10 เป็น Y, N หรือเคาะ space bar",IF(OR(B43="Y",B43="N",B43=" "),"","เกณฑ์ข้อ 10 ต้องใส่ Y หรือ N หรือเคาะ spacebar")))</f>
        <v/>
      </c>
      <c r="CK43" s="86" t="str">
        <f>IF(F44&lt;11,"",IF(AND(F44=11,OR(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F44=11,C3=1,C43=""),"ใส่ผลประเมินเกณฑ์ข้อ 11",IF(OR(C43="Y",C43="N"),"","เกณฑ์ข้อ 11 ต้องใส่ Y หรือ N"))))</f>
        <v/>
      </c>
      <c r="CL43" s="86" t="str">
        <f>IF(F44&lt;12,"",IF(AND(F44=12,OR(E43&lt;&gt;"",F43&lt;&gt;"",G43&lt;&gt;"",H43&lt;&gt;"",I43&lt;&gt;"",J43&lt;&gt;"",B44&lt;&gt;"",C44&lt;&gt;"")),"ประเมินตัวบ่งชี้ที่ไม่ได้ระบุไว้ในหลักสูตรแต่ละปี",IF(AND(C3=1,F44=12,D43=""),"ใส่ผลประเมินเกณฑ์ข้อ 12",IF(OR(D43="Y",D43="N"),"","เกณฑ์ข้อ 12 ต้องใส่ Y หรือ N"))))</f>
        <v/>
      </c>
      <c r="CM43" s="86" t="str">
        <f>IF(F44&lt;13,"",IF(AND(F44=13,OR(F43&lt;&gt;"",G43&lt;&gt;"",H43&lt;&gt;"",I43&lt;&gt;"",J43&lt;&gt;"",B44&lt;&gt;"",C44&lt;&gt;"")),"ประเมินตัวบ่งชี้ที่ไม่ได้ระบุไว้ในหลักสูตรแต่ละปี",IF(AND(C3=1,F44=13,E43=""),"ใส่ผลประเมินเกณฑ์ข้อ 13",IF(OR(E43="Y",E43="N"),"","เกณฑ์ข้อ 13 ต้องใส่ Y หรือ N"))))</f>
        <v/>
      </c>
      <c r="CN43" s="86" t="str">
        <f>IF(F44&lt;14,"",IF(AND(F44=14,OR(G43&lt;&gt;"",H43&lt;&gt;"",I43&lt;&gt;"",J43&lt;&gt;"",B44&lt;&gt;"",C44&lt;&gt;"")),"ประเมินตัวบ่งชี้ที่ไม่ได้ระบุไว้ในหลักสูตรแต่ละปี",IF(AND(C3=1,F44=14,F43=""),"ใส่ผลประเมินเกณฑ์ข้อ 14",IF(OR(F43="Y",F43="N"),"","เกณฑ์ข้อ 14 ต้องใส่ Y หรือ N"))))</f>
        <v/>
      </c>
      <c r="CO43" s="86" t="str">
        <f>IF(F44&lt;15,"",IF(AND(F44=15,OR(H43&lt;&gt;"",I43&lt;&gt;"",J43&lt;&gt;"",B44&lt;&gt;"",C44&lt;&gt;"")),"ประเมินตัวบ่งชี้ที่ไม่ได้ระบุไว้ในหลักสูตรแต่ละปี",IF(AND(C3=1,F44=15,G43=""),"ใส่ผลประเมินเกณฑ์ข้อ 15",IF(OR(G43="Y",G43="N"),"","เกณฑ์ข้อ 15 ต้องใส่ Y หรือ N"))))</f>
        <v/>
      </c>
      <c r="CP43" s="86" t="str">
        <f>IF(F44&lt;16,"",IF(AND(F44=16,OR(I43&lt;&gt;"",J43&lt;&gt;"",B44&lt;&gt;"",C44&lt;&gt;"")),"ประเมินตัวบ่งชี้ที่ไม่ได้ระบุไว้ในหลักสูตรแต่ละปี",IF(AND(C3=1,F44=16,H43=""),"ใส่ผลประเมินเกณฑ์ข้อ 16",IF(OR(H43="Y",H43="N"),"","เกณฑ์ข้อ 16 ต้องใส่ Y หรือ N"))))</f>
        <v/>
      </c>
      <c r="CQ43" s="86" t="str">
        <f>IF(F44&lt;17,"",IF(AND(F44=17,OR(J43&lt;&gt;"",B44&lt;&gt;"",C44&lt;&gt;"")),"ประเมินตัวบ่งชี้ที่ไม่ได้ระบุไว้ในหลักสูตรแต่ละปี",IF(AND(C3=1,F44=17,I43=""),"ใส่ผลประเมินเกณฑ์ข้อ 17",IF(OR(I43="Y",I43="N"),"","เกณฑ์ข้อ 17 ต้องใส่ Y หรือ N"))))</f>
        <v/>
      </c>
      <c r="CR43" s="86" t="str">
        <f>IF(F44&lt;18,"",IF(AND(F44=18,OR(B44&lt;&gt;"",C44&lt;&gt;"")),"ประเมินตัวบ่งชี้ที่ไม่ได้ระบุไว้ในหลักสูตรแต่ละปี",IF(AND(C3=1,F44=18,J43=""),"ใส่ผลประเมินเกณฑ์ข้อ 18",IF(OR(J43="Y",J43="N"),"","เกณฑ์ข้อ 18 ต้องใส่ Y หรือ N"))))</f>
        <v/>
      </c>
      <c r="CS43" s="86" t="str">
        <f>IF(F44&lt;19,"",IF(AND(F44=19,OR(C44&lt;&gt;"")),"ประเมินตัวบ่งชี้ที่ไม่ได้ระบุไว้ในหลักสูตรแต่ละปี",IF(AND(C3=1,F44=19,B44=""),"ใส่ผลประเมินเกณฑ์ข้อ 19",IF(OR(B44="Y",B44="N"),"","เกณฑ์ข้อ 19 ต้องใส่ Y หรือ N"))))</f>
        <v/>
      </c>
      <c r="CT43" s="86" t="str">
        <f>IF(F44&lt;20,"",IF(AND(C3=1,F44=20,C44=""),"ใส่ผลประเมินเกณฑ์ข้อ 20",IF(OR(C44="Y",C44="N"),"","เกณฑ์ข้อ 20 ต้องใส่ Y หรือ N")))</f>
        <v/>
      </c>
      <c r="CU43" s="94" t="str">
        <f>IF(AND(CA43="",CB43="",CC43="",CD43="",CE43="",CF43="",CG43="",CH43="",CI43="",CJ43="",CK43="",CL43="",CM43=""),"",IF(CA43&lt;&gt;"",CA43,IF(CB43&lt;&gt;"",CB43,IF(CC43&lt;&gt;"",CC43,IF(CD43&lt;&gt;"",CD43,IF(CE43&lt;&gt;"",CE43,IF(CF43&lt;&gt;"",CF43,IF(CG43&lt;&gt;"",CG43,IF(CH43&lt;&gt;"",CH43,IF(CI43&lt;&gt;"",CI43,IF(CJ43&lt;&gt;"",CJ43,IF(CK43&lt;&gt;"",CK43,IF(CL43&lt;&gt;"",CL43,IF(CM43&lt;&gt;"",CM43,"Error"))))))))))))))</f>
        <v>เกณฑ์ข้อ 1 ต้องใส่ Y หรือ N</v>
      </c>
      <c r="CV43" s="95" t="str">
        <f>IF(AND(CN43="",CO43="",CP43="",CQ43="",CR43="",CS43="",CT43=""),"",IF(CN43&lt;&gt;"",CN43,IF(CO43&lt;&gt;"",CO43,IF(CP43&lt;&gt;"",CP43,IF(CQ43&lt;&gt;"",CQ43,IF(CR43&lt;&gt;"",CR43,IF(CS43&lt;&gt;"",CS43,IF(CT43&lt;&gt;"",CT43))))))))</f>
        <v/>
      </c>
      <c r="CW43" s="64" t="str">
        <f>IF(AND(CU43="",CV43=""),"",IF(CU43&lt;&gt;"",CU43,IF(CV43&lt;&gt;"",CV43,"Error")))</f>
        <v>เกณฑ์ข้อ 1 ต้องใส่ Y หรือ N</v>
      </c>
    </row>
    <row r="44" spans="1:101" ht="23.25" customHeight="1" thickBot="1" x14ac:dyDescent="0.55000000000000004">
      <c r="A44" s="143"/>
      <c r="B44" s="76"/>
      <c r="C44" s="12"/>
      <c r="D44" s="119">
        <v>2</v>
      </c>
      <c r="E44" s="62" t="str">
        <f>IF(D44=1,CA45,IF(D44=2,CC45,IF(D44=3,CE45,"")))</f>
        <v/>
      </c>
      <c r="F44" s="70"/>
      <c r="G44" s="148" t="str">
        <f>IF(OR(E44="",F44="",F44&lt;=0),"",IF(OR(E44&gt;F44,F44&gt;21),"Error","ร้อยละ"))</f>
        <v/>
      </c>
      <c r="H44" s="149"/>
      <c r="I44" s="144" t="str">
        <f>IF(E44="","",IF(L42&lt;&gt;"","",IF(OR(E44="",E44&lt;0,E44&lt;&gt;ROUND(E44,0),F44="",F44&lt;=0,F44&lt;&gt;ROUND(F44,0),E44&gt;F44),"",IF(AND(E44&lt;&gt;"",F44&lt;&gt;""),ROUND(E44*100/IF(F44=1,1,(F44-SUM(COUNTIF(B42:J42," "),COUNTIF(B43:D43," ")))),2),"Error"))))</f>
        <v/>
      </c>
      <c r="J44" s="123"/>
      <c r="K44" s="147"/>
      <c r="L44" s="17" t="str">
        <f>IF(OR(CW42="",CW43=""),"",IF(OR(E43&lt;&gt;"",F43&lt;&gt;"",G43&lt;&gt;"",H43&lt;&gt;"",I43&lt;&gt;"",J43&lt;&gt;"",B44&lt;&gt;"",C44&lt;&gt;""),"ตรวจสอบจำนวนข้อตามตัวบ่งชี้การดำเนินการ ตามกรอบ มคอ ที่ระบุไว้ในหลักสูตร",""))</f>
        <v/>
      </c>
      <c r="CA44" s="86" t="str">
        <f>IF(F44&lt;2,"",IF(AND(OR(C3=2,C3=3),B42=""),"ใส่ผลประเมินเกณฑ์ข้อ 1",IF(OR(B42="Y",B42="N"),"","เกณฑ์ข้อ 1 ต้องใส่ Y หรือ N")))</f>
        <v/>
      </c>
      <c r="CB44" s="86" t="str">
        <f>IF(F44&lt;3,"",IF(AND(OR(C3=2,C3=3),C42=""),"ใส่ผลประเมินเกณฑ์ข้อ 2",IF(OR(C42="Y",C42="N"),"","เกณฑ์ข้อ 2 ต้องใส่ Y หรือ N")))</f>
        <v/>
      </c>
      <c r="CC44" s="86" t="str">
        <f>IF(F44&lt;4,"",IF(AND(OR(C3=2,C3=3),D42=""),"ใส่ผลประเมินเกณฑ์ข้อ 3",IF(OR(D42="Y",D42="N"),"","เกณฑ์ข้อ 3 ต้องใส่ Y หรือ N")))</f>
        <v/>
      </c>
      <c r="CD44" s="86" t="str">
        <f>IF(F44&lt;5,"",IF(AND(OR(C3=2,C3=3),E42=""),"ใส่ผลประเมินเกณฑ์ข้อ 4",IF(OR(E42="Y",E42="N"),"","เกณฑ์ข้อ 4 ต้องใส่ Y หรือ N")))</f>
        <v/>
      </c>
      <c r="CE44" s="86" t="str">
        <f>IF(F44&lt;6,"",IF(AND(OR(C3=2,C3=3),F42=""),"ใส่ผลประเมินเกณฑ์ข้อ 5",IF(OR(F42="Y",F42="N"),"","เกณฑ์ข้อ 5 ต้องใส่ Y หรือ N")))</f>
        <v/>
      </c>
      <c r="CF44" s="86" t="str">
        <f>IF(F44&lt;7,"",IF(AND(OR(C3=2,C3=3),G42=""),"ใส่ผลประเมินเกณฑ์ข้อ 6",IF(OR(G42="Y",G42="N"),"","เกณฑ์ข้อ 6 ต้องใส่ Y หรือ N")))</f>
        <v/>
      </c>
      <c r="CG44" s="86" t="str">
        <f>IF(AND(F44&lt;8,H42=""),"",IF(AND(F44=9,OR(H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H42=""),"ใส่ผลประเมินเกณฑ์ข้อ 7 เป็น Y, N หรือเคาะ space bar",IF(OR(C3=2,C3=3,H42="Y",H42="N",H42=" "),"","เกณฑ์ข้อ 7 ต้องใส่ Y หรือ N หรือเคาะ space bar"))))</f>
        <v/>
      </c>
      <c r="CH44" s="86" t="str">
        <f>IF(AND(F44&lt;9,I42=""),"",IF(AND(F44=9,OR(I42&lt;&gt;"",C43&lt;&gt;"",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I42=""),"ใส่ผลประเมินเกณฑ์ข้อ 8 เป็น Y, N หรือเคาะ space bar",IF(OR(C3=2,C3=3,I42="Y",I42="N",I42=" "),"","เกณฑ์ข้อ 8 ต้องใส่ Y หรือ N หรือเคาะ space bar"))))</f>
        <v/>
      </c>
      <c r="CI44" s="86" t="str">
        <f>IF(F44&lt;9,"",IF(AND(OR(C3=2,C3=3),J42=""),"ใส่ผลประเมินเกณฑ์ข้อ 9",IF(OR(J42="Y",J42="N"),"","เกณฑ์ข้อ 9 ต้องใส่ Y หรือ N")))</f>
        <v/>
      </c>
      <c r="CJ44" s="86" t="str">
        <f>IF(F44&lt;10,"",IF(AND(OR(C3=2,C3=3),B43=""),"ใส่ผลประเมินเกณฑ์ข้อ 10 เป็น Y, N หรือเคาะ space bar",IF(OR(B43="Y",B43="N",B43=" "),"","เกณฑ์ข้อ 10 ต้องใส่ Y หรือ N sหรือเคาะ space bar")))</f>
        <v/>
      </c>
      <c r="CK44" s="86" t="str">
        <f>IF(F44&lt;11,"",IF(AND(F44=11,OR(D43&lt;&gt;"",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F44=11,C43=""),"ใส่ผลประเมินเกณฑ์ข้อ 11",IF(OR(C43="Y",C43="N"),"","เกณฑ์ข้อ 11 ต้องใส่ Y หรือ N"))))</f>
        <v/>
      </c>
      <c r="CL44" s="93" t="str">
        <f>IF(F44&lt;12,"",IF(AND(F44=12,OR(E43&lt;&gt;"",F43&lt;&gt;"",G43&lt;&gt;"",H43&lt;&gt;"",I43&lt;&gt;"",J43&lt;&gt;"",B44&lt;&gt;"",C44&lt;&gt;"")),"ประเมินตัวบ่งชี้ที่ไม่ได้ระบุไว้ในหลักสูตรแต่ละปี",IF(AND(OR(C3=2,C3=3),F44=12,D43=""),"ใส่ผลประเมินเกณฑ์ข้อ 12",IF(OR(D43="Y",D43="N"),"","เกณฑ์ข้อ 12 ต้องใส่ Y หรือ N"))))</f>
        <v/>
      </c>
      <c r="CM44" s="86" t="str">
        <f>IF(F44&lt;13,"",IF(AND(F44=13,OR(F43&lt;&gt;"",G43&lt;&gt;"",H43&lt;&gt;"",I43&lt;&gt;"",J43&lt;&gt;"",B44&lt;&gt;"",C44&lt;&gt;"")),"ประเมินตัวบ่งชี้ที่ไม่ได้ระบุไว้ในหลักสูตรแต่ละปี",IF(AND(OR(C3=2,C3=3),F44=13,E43=""),"ใส่ผลประเมินเกณฑ์ข้อ 13",IF(OR(E43="Y",E43="N"),"","เกณฑ์ข้อ 13 ต้องใส่ Y หรือ N"))))</f>
        <v/>
      </c>
      <c r="CN44" s="86" t="str">
        <f>IF(F44&lt;14,"",IF(AND(F44=14,OR(G43&lt;&gt;"",H43&lt;&gt;"",I43&lt;&gt;"",J43&lt;&gt;"",B44&lt;&gt;"",C44&lt;&gt;"")),"ประเมินตัวบ่งชี้ที่ไม่ได้ระบุไว้ในหลักสูตรแต่ละปี",IF(AND(OR(C3=2,C3=3),F44=14,F43=""),"ใส่ผลประเมินเกณฑ์ข้อ 14",IF(OR(F43="Y",F43="N"),"","เกณฑ์ข้อ 14 ต้องใส่ Y หรือ N"))))</f>
        <v/>
      </c>
      <c r="CO44" s="86" t="str">
        <f>IF(F44&lt;15,"",IF(AND(F44=15,OR(H43&lt;&gt;"",I43&lt;&gt;"",J43&lt;&gt;"",B44&lt;&gt;"",C44&lt;&gt;"")),"ประเมินตัวบ่งชี้ที่ไม่ได้ระบุไว้ในหลักสูตรแต่ละปี",IF(AND(OR(C3=2,C3=3),F44=15,G43=""),"ใส่ผลประเมินเกณฑ์ข้อ 15",IF(OR(G43="Y",G43="N"),"","เกณฑ์ข้อ 15 ต้องใส่ Y หรือ N"))))</f>
        <v/>
      </c>
      <c r="CP44" s="86" t="str">
        <f>IF(F44&lt;16,"",IF(AND(F44=16,OR(I43&lt;&gt;"",J43&lt;&gt;"",B44&lt;&gt;"",C44&lt;&gt;"")),"ประเมินตัวบ่งชี้ที่ไม่ได้ระบุไว้ในหลักสูตรแต่ละปี",IF(AND(OR(C3=2,C3=3),F44=16,H43=""),"ใส่ผลประเมินเกณฑ์ข้อ 16",IF(OR(H43="Y",H43="N"),"","เกณฑ์ข้อ 16 ต้องใส่ Y หรือ N"))))</f>
        <v/>
      </c>
      <c r="CQ44" s="86" t="str">
        <f>IF(F44&lt;17,"",IF(AND(F44=17,OR(J43&lt;&gt;"",B44&lt;&gt;"",C44&lt;&gt;"")),"ประเมินตัวบ่งชี้ที่ไม่ได้ระบุไว้ในหลักสูตรแต่ละปี",IF(AND(OR(C3=2,C3=3),F44=17,I43=""),"ใส่ผลประเมินเกณฑ์ข้อ 17",IF(OR(I43="Y",I43="N"),"","เกณฑ์ข้อ 17 ต้องใส่ Y หรือ N"))))</f>
        <v/>
      </c>
      <c r="CR44" s="86" t="str">
        <f>IF(F44&lt;18,"",IF(AND(F44=18,OR(B44&lt;&gt;"",C44&lt;&gt;"")),"ประเมินตัวบ่งชี้ที่ไม่ได้ระบุไว้ในหลักสูตรแต่ละปี",IF(AND(OR(C3=2,C3=3),F44=18,J43=""),"ใส่ผลประเมินเกณฑ์ข้อ 18",IF(OR(J43="Y",J43="N"),"","เกณฑ์ข้อ 18 ต้องใส่ Y หรือ N"))))</f>
        <v/>
      </c>
      <c r="CS44" s="86" t="str">
        <f>IF(F44&lt;19,"",IF(AND(F44=19,OR(C44&lt;&gt;"")),"ประเมินตัวบ่งชี้ที่ไม่ได้ระบุไว้ในหลักสูตรแต่ละปี",IF(AND(OR(C3=2,C3=3),F44=19,B44=""),"ใส่ผลประเมินเกณฑ์ข้อ 19",IF(OR(B44="Y",B44="N"),"","เกณฑ์ข้อ 19 ต้องใส่ Y หรือ N"))))</f>
        <v/>
      </c>
      <c r="CT44" s="86" t="str">
        <f>IF(F44&lt;20,"",IF(AND(OR(C3=2,C3=3),F44=20,C44=""),"ใส่ผลประเมินเกณฑ์ข้อ 20",IF(OR(C44="Y",C44="N"),"","เกณฑ์ข้อ 20 ต้องใส่ Y หรือ N")))</f>
        <v/>
      </c>
      <c r="CU44" s="94" t="str">
        <f>IF(AND(CA44="",CB44="",CC44="",CD44="",CE44="",CF44="",CG44="",CH44="",CI44="",CJ44="",CK44="",CL44="",CM44=""),"",IF(CA44&lt;&gt;"",CA44,IF(CB44&lt;&gt;"",CB44,IF(CC44&lt;&gt;"",CC44,IF(CD44&lt;&gt;"",CD44,IF(CE44&lt;&gt;"",CE44,IF(CF44&lt;&gt;"",CF44,IF(CG44&lt;&gt;"",CG44,IF(CH44&lt;&gt;"",CH44,IF(CI44&lt;&gt;"",CI44,IF(CJ44&lt;&gt;"",CJ44,IF(CK44&lt;&gt;"",CK44,IF(CL44&lt;&gt;"",CL44,IF(CM44&lt;&gt;"",CM44,"Error"))))))))))))))</f>
        <v/>
      </c>
      <c r="CV44" s="95" t="str">
        <f>IF(AND(CN44="",CO44="",CP44="",CQ44="",CR44="",CS44="",CT44=""),"",IF(CN44&lt;&gt;"",CN44,IF(CO44&lt;&gt;"",CO44,IF(CP44&lt;&gt;"",CP44,IF(CQ44&lt;&gt;"",CQ44,IF(CR44&lt;&gt;"",CR44,IF(CS44&lt;&gt;"",CS44,IF(CT44&lt;&gt;"",CT44))))))))</f>
        <v/>
      </c>
      <c r="CW44" s="64" t="str">
        <f>IF(AND(CU44="",CV44=""),"",IF(CU44&lt;&gt;"",CU44,IF(CV44&lt;&gt;"",CV44,"Error")))</f>
        <v/>
      </c>
    </row>
    <row r="45" spans="1:101" ht="23.25" customHeight="1" x14ac:dyDescent="0.45">
      <c r="A45" s="77" t="s">
        <v>31</v>
      </c>
      <c r="B45" s="140"/>
      <c r="C45" s="140"/>
      <c r="D45" s="140"/>
      <c r="E45" s="140"/>
      <c r="F45" s="140"/>
      <c r="G45" s="140"/>
      <c r="H45" s="140"/>
      <c r="I45" s="140"/>
      <c r="J45" s="24"/>
      <c r="K45" s="25" t="str">
        <f>IF(J45="","",IF(OR(J45&lt;0,J45&lt;&gt;ROUND(J45,0),J45&gt;5),"Error",J45))</f>
        <v/>
      </c>
      <c r="L45" s="26" t="str">
        <f>IF(J45="","",(IF(J45&lt;0,"ตะแนนต้องไม่ติดลบ",IF(J45&lt;&gt;ROUND(J45,0),"คะแนนต้องไม่เป็นทศนิยม",IF(J45&gt;5,"คะแนนต้องไม่มากกว่า 5","")))))</f>
        <v/>
      </c>
      <c r="CA45" s="96" t="str">
        <f>IF(B42="","",IF(COUNTIF(B42:F42,"Y")&lt;&gt;5,0,IF(AND(F44=9,H42="",C43="",D43="",E43="",F43="",G43="",H43="",I43="",J43="",B44="",C44=""),SUM(COUNTIF(B42:G42,"y"),COUNTIF(I42:J42,"y"),COUNTIF(B43,"Y")),IF(AND(F44=10,C43="",D43="",E43="",F43="",G43="",H43="",I43="",J43="",B44="",C44=""),SUM(COUNTIF(B42:J42,"Y"),COUNTIF(B43,"Y")),IF(AND(F44=11,D43="",E43="",F43="",G43="",H43="",I43="",J43="",B44="",C44=""),SUM(COUNTIF(B42:J42,"Y"),COUNTIF(B43:C43,"Y")),IF(AND(F44=12,E43="",F43="",G43="",H43="",I43="",J43="",B44="",C44=""),SUM(COUNTIF(B42:J42,"Y"),COUNTIF(B43:D43,"Y")),IF(AND(F44=13,F43="",G43="",H43="",I43="",J43="",B44="",C44=""),SUM(COUNTIF(B42:J42,"Y"),COUNTIF(B43:E43,"Y")),IF(AND(F44=14,G43="",H43="",I43="",J43="",B44="",C44=""),SUM(COUNTIF(B42:J42,"Y"),COUNTIF(B43:F43,"Y")),IF(AND(F44=15,H43="",I43="",J43="",B44="",C44=""),SUM(COUNTIF(B42:J42,"Y"),COUNTIF(B43:G43,"Y")),IF(AND(F44=16,I43="",J43="",B44="",C44=""),SUM(COUNTIF(B42:J42,"Y"),COUNTIF(B43:H43,"Y")),IF(AND(F44=17,J43="",B44="",C44=""),SUM(COUNTIF(B42:J42,"Y"),COUNTIF(B43:I43,"Y")),IF(AND(F44=18,B44="",C44=""),SUM(COUNTIF(B42:J42,"Y"),COUNTIF(B43:J43,"Y")),IF(AND(F44=19,C44=""),SUM(COUNTIF(B42:J42,"Y"),COUNTIF(B43:J43,"Y"),COUNTIF(B44,"y")),IF(F44=20,SUM(COUNTIF(B42:J42,"Y"),COUNTIF(B43:J43,"Y"),COUNTIF(B44:C44,"y")),""))))))))))))))</f>
        <v/>
      </c>
      <c r="CB45" s="97"/>
      <c r="CC45" s="98" t="str">
        <f>IF(B42="","",IF(AND(F44=9,H42="",C43="",D43="",E43="",F43="",G43="",H43="",I43="",J43="",B44="",C44=""),SUM(COUNTIF(B42:G42,"y"),COUNTIF(I42:J42,"y"),COUNTIF(B43,"Y")),IF(AND(F44=10,C43="",D43="",E43="",F43="",G43="",H43="",I43="",J43="",B44="",C44=""),SUM(COUNTIF(B42:J42,"Y"),COUNTIF(B43,"Y")),IF(AND(F44=11,D43="",E43="",F43="",G43="",H43="",I43="",J43="",B44="",C44=""),SUM(COUNTIF(B42:J42,"Y"),COUNTIF(B43:C43,"Y")),IF(AND(F44=12,E43="",F43="",G43="",H43="",I43="",J43="",B44="",C44=""),SUM(COUNTIF(B42:J42,"Y"),COUNTIF(B43:D43,"Y")),IF(AND(F44=13,F43="",G43="",H43="",I43="",J43="",B44="",C44=""),SUM(COUNTIF(B42:J42,"Y"),COUNTIF(B43:E43,"Y")),IF(AND(F44=14,G43="",H43="",I43="",J43="",B44="",C44=""),SUM(COUNTIF(B42:J42,"Y"),COUNTIF(B43:F43,"Y")),IF(AND(F44=15,H43="",I43="",J43="",B44="",C44=""),SUM(COUNTIF(B42:J42,"Y"),COUNTIF(B43:G43,"Y")),IF(AND(F44=16,I43="",J43="",B44="",C44=""),SUM(COUNTIF(B42:J42,"Y"),COUNTIF(B43:H43,"Y")),IF(AND(F44=17,J43="",B44="",C44=""),SUM(COUNTIF(B42:J42,"Y"),COUNTIF(B43:I43,"Y")),IF(AND(F44=18,B44="",C44=""),SUM(COUNTIF(B42:J42,"Y"),COUNTIF(B43:J43,"Y")),IF(AND(F44=19,C44=""),SUM(COUNTIF(B42:J42,"Y"),COUNTIF(B43:J43,"Y"),COUNTIF(B44,"y")),IF(F44=20,SUM(COUNTIF(B42:J42,"Y"),COUNTIF(B43:J43,"Y"),COUNTIF(B44:C44,"y")),"")))))))))))))</f>
        <v/>
      </c>
      <c r="CD45" s="97"/>
      <c r="CE45" s="99" t="str">
        <f>IF(B42="","",IF(F44=1,COUNTIF(B42,"y"),IF(F44=2,COUNTIF(B42:C42,"y"),IF(F44=3,COUNTIF(B42:D42,"y"),IF(F44=4,COUNTIF(B42:E42,"y"),IF(F44=5,COUNTIF(B42:F42,"y"),IF(F44=6,COUNTIF(B42:G42,"y"),IF(F44=7,COUNTIF(B42:H42,"y"),IF(F44=8,COUNTIF(B42:I42,"Y"),IF(F44=9,COUNTIF(B42:J42,"Y"),IF(F44=10,SUM(COUNTIF(B42:J42,"Y"),COUNTIF(B43,"Y")),IF(F44=11,SUM(COUNTIF(B42:J42,"Y"),COUNTIF(B43:C43,"Y")),IF(F44=12,SUM(COUNTIF(B42:J42,"Y"),COUNTIF(B43:D43,"Y")),IF(F44=13,SUM(COUNTIF(B42:J42,"Y"),COUNTIF(B43:E43,"Y")),IF(F44=14,SUM(COUNTIF(B42:J42,"Y"),COUNTIF(B43:F43,"Y")),IF(F44=15,SUM(COUNTIF(B42:J42,"Y"),COUNTIF(B43:G43,"Y")),IF(F44=16,SUM(COUNTIF(B42:J42,"Y"),COUNTIF(B43:H43,"Y")),IF(F44=17,SUM(COUNTIF(B42:J42,"Y"),COUNTIF(B43:I43,"Y")),IF(F44=18,SUM(COUNTIF(B42:J42,"Y"),COUNTIF(B43:J43,"Y")),IF(F44=19,SUM(COUNTIF(B42:J42,"Y"),COUNTIF(B43:J43,"Y"),COUNTIF(B44,"Y")),IF(F44=20,SUM(COUNTIF(B42:J42,"Y"),COUNTIF(B43:J43,"Y"),COUNTIF(B44:C44,"Y")),"")))))))))))))))))))))</f>
        <v/>
      </c>
    </row>
    <row r="46" spans="1:101" ht="55.5" customHeight="1" x14ac:dyDescent="0.45">
      <c r="A46" s="84"/>
      <c r="B46" s="132" t="s">
        <v>32</v>
      </c>
      <c r="C46" s="133"/>
      <c r="D46" s="133"/>
      <c r="E46" s="133"/>
      <c r="F46" s="133"/>
      <c r="G46" s="133"/>
      <c r="H46" s="133"/>
      <c r="I46" s="133"/>
      <c r="J46" s="133"/>
      <c r="K46" s="32" t="str">
        <f>IF(COUNT(K11:K45)=0,"",IF(COUNTIF(K11:K45,"Error")&gt;0,"Error",ROUND(SUM(K11:K45)/IF(COUNT(K11:K45)=0,1,COUNT(K11:K45)),2)))</f>
        <v/>
      </c>
    </row>
    <row r="47" spans="1:101" ht="26.25" customHeight="1" x14ac:dyDescent="0.55000000000000004">
      <c r="A47" s="33" t="s">
        <v>33</v>
      </c>
      <c r="B47" s="134" t="str">
        <f>IF(AND(OR(K7="",K7="Error",K46="",K46="Error"),OR(K9="",K9="Error",K46="",K46="Error")),"",IF(AND(B1=1,K7="ผ่าน"),"หลักสูตรเป็นไปตามเกณฑ์มาตรฐาน พ.ศ. 2548",IF(AND(B1=2,K9="ผ่าน"),"หลักสูตรเป็นไปตามเกณฑ์มาตรฐาน พ.ศ. 2558","ไม่ผ่านองค์ประกอบที่ 1 คะแนนระดับหลักสูตร = 0")))</f>
        <v/>
      </c>
      <c r="C47" s="135"/>
      <c r="D47" s="135"/>
      <c r="E47" s="135"/>
      <c r="F47" s="135"/>
      <c r="G47" s="135"/>
      <c r="H47" s="135"/>
      <c r="I47" s="135"/>
      <c r="J47" s="135"/>
      <c r="K47" s="136"/>
    </row>
    <row r="48" spans="1:101" ht="21" customHeight="1" x14ac:dyDescent="0.5">
      <c r="B48" s="137" t="str">
        <f>IF(AND(OR(K7="",K7="Error",K46="",K46="Error"),OR(K9="",K9="Error",K46="",K46="Error")),"",IF(OR(K7="ไม่ผ่าน",K9="ไม่ผ่าน"),"",IF(AND(K46&gt;=4.01,K46&lt;=5),"และมีระดับคุณภาพดีมาก",IF(AND(K46&gt;=3.01,K46&lt;4.01),"และมีระดับคุณภาพดี",IF(AND(K46&gt;=2.01,K46&lt;3.01),"และมีระดับคุณภาพปานกลาง",IF(K46&lt;2.01,"และมีระดับคุณภาพน้อย",""))))))</f>
        <v/>
      </c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3:13" x14ac:dyDescent="0.45">
      <c r="M49" s="97"/>
    </row>
  </sheetData>
  <sheetProtection algorithmName="SHA-512" hashValue="ckF8xe/jdQXDp8izjs82Lsi8kZstcIND8+KvwS+/JbbzfEMhnhUEOmgDBm0pTR24I4ExZ3/F8TzpQGrWpdt5bA==" saltValue="4n3RPN+7Ibuv9LgaHA6cKQ==" spinCount="100000" sheet="1" objects="1" scenarios="1"/>
  <mergeCells count="107">
    <mergeCell ref="A2:K2"/>
    <mergeCell ref="A4:A6"/>
    <mergeCell ref="B4:J4"/>
    <mergeCell ref="K4:K6"/>
    <mergeCell ref="B5:F5"/>
    <mergeCell ref="G5:J6"/>
    <mergeCell ref="B6:F6"/>
    <mergeCell ref="A13:A14"/>
    <mergeCell ref="I13:J14"/>
    <mergeCell ref="K13:K14"/>
    <mergeCell ref="A7:A8"/>
    <mergeCell ref="K7:K8"/>
    <mergeCell ref="A11:A12"/>
    <mergeCell ref="G11:H12"/>
    <mergeCell ref="I11:J12"/>
    <mergeCell ref="K11:K12"/>
    <mergeCell ref="D8:J8"/>
    <mergeCell ref="D11:F11"/>
    <mergeCell ref="D12:F12"/>
    <mergeCell ref="B11:C12"/>
    <mergeCell ref="B13:C14"/>
    <mergeCell ref="G13:H13"/>
    <mergeCell ref="G14:H14"/>
    <mergeCell ref="D13:F14"/>
    <mergeCell ref="A17:A18"/>
    <mergeCell ref="B17:F17"/>
    <mergeCell ref="G17:H18"/>
    <mergeCell ref="I17:J18"/>
    <mergeCell ref="K17:K18"/>
    <mergeCell ref="B18:F18"/>
    <mergeCell ref="A15:A16"/>
    <mergeCell ref="B15:F15"/>
    <mergeCell ref="G15:H16"/>
    <mergeCell ref="I15:J16"/>
    <mergeCell ref="K15:K16"/>
    <mergeCell ref="B16:F16"/>
    <mergeCell ref="B25:C25"/>
    <mergeCell ref="E25:F25"/>
    <mergeCell ref="G25:H25"/>
    <mergeCell ref="I25:J25"/>
    <mergeCell ref="B26:C26"/>
    <mergeCell ref="E26:F26"/>
    <mergeCell ref="G26:H26"/>
    <mergeCell ref="I26:J26"/>
    <mergeCell ref="B19:I19"/>
    <mergeCell ref="B20:I20"/>
    <mergeCell ref="B21:I21"/>
    <mergeCell ref="B22:I22"/>
    <mergeCell ref="B23:K23"/>
    <mergeCell ref="B24:C24"/>
    <mergeCell ref="E24:F24"/>
    <mergeCell ref="G24:H24"/>
    <mergeCell ref="I24:J24"/>
    <mergeCell ref="K24:K26"/>
    <mergeCell ref="B27:K27"/>
    <mergeCell ref="B28:C28"/>
    <mergeCell ref="E28:F28"/>
    <mergeCell ref="G28:H28"/>
    <mergeCell ref="I28:J28"/>
    <mergeCell ref="K28:K30"/>
    <mergeCell ref="B29:C29"/>
    <mergeCell ref="E29:F29"/>
    <mergeCell ref="G29:H29"/>
    <mergeCell ref="I29:J29"/>
    <mergeCell ref="B30:C30"/>
    <mergeCell ref="E30:F30"/>
    <mergeCell ref="G30:H30"/>
    <mergeCell ref="I30:J30"/>
    <mergeCell ref="I37:J37"/>
    <mergeCell ref="B35:E35"/>
    <mergeCell ref="F35:G35"/>
    <mergeCell ref="I35:J35"/>
    <mergeCell ref="B36:E36"/>
    <mergeCell ref="F36:G36"/>
    <mergeCell ref="I36:J36"/>
    <mergeCell ref="B33:C33"/>
    <mergeCell ref="E33:F33"/>
    <mergeCell ref="G33:H33"/>
    <mergeCell ref="I33:J33"/>
    <mergeCell ref="B34:C34"/>
    <mergeCell ref="E34:F34"/>
    <mergeCell ref="G34:H34"/>
    <mergeCell ref="I34:J34"/>
    <mergeCell ref="A9:A10"/>
    <mergeCell ref="K9:K10"/>
    <mergeCell ref="C1:K1"/>
    <mergeCell ref="C10:J10"/>
    <mergeCell ref="B46:J46"/>
    <mergeCell ref="B47:K47"/>
    <mergeCell ref="B48:K48"/>
    <mergeCell ref="B41:I41"/>
    <mergeCell ref="A42:A44"/>
    <mergeCell ref="I44:J44"/>
    <mergeCell ref="B45:I45"/>
    <mergeCell ref="B38:I38"/>
    <mergeCell ref="B39:I39"/>
    <mergeCell ref="B40:I40"/>
    <mergeCell ref="K42:K44"/>
    <mergeCell ref="G44:H44"/>
    <mergeCell ref="B31:K31"/>
    <mergeCell ref="B32:C32"/>
    <mergeCell ref="E32:F32"/>
    <mergeCell ref="G32:H32"/>
    <mergeCell ref="I32:J32"/>
    <mergeCell ref="K32:K37"/>
    <mergeCell ref="B37:E37"/>
    <mergeCell ref="F37:G37"/>
  </mergeCells>
  <printOptions horizontalCentered="1"/>
  <pageMargins left="0.9" right="0.9" top="1" bottom="0.5" header="0.55000000000000004" footer="0.3"/>
  <pageSetup scale="54" orientation="portrait" horizontalDpi="4294967295" verticalDpi="4294967295" r:id="rId1"/>
  <headerFooter>
    <oddHeader>&amp;Cพัฒนาโดย ดร.ประสิทธิ์ พงษ์เรืองพันธุ์ และรศ.ดร.เรณา พงษ์เรืองพันธุ์ มหาวิทยาลัยบูรพา&amp;RE-mail: prasitp_g@hotmail.com</oddHeader>
    <oddFooter>&amp;L&amp;Z&amp;F&amp;R&amp;D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18"/>
  <sheetViews>
    <sheetView showGridLines="0" zoomScale="90" zoomScaleNormal="90" workbookViewId="0">
      <pane ySplit="8" topLeftCell="A9" activePane="bottomLeft" state="frozen"/>
      <selection pane="bottomLeft" activeCell="B1" sqref="B1:G1"/>
    </sheetView>
  </sheetViews>
  <sheetFormatPr defaultColWidth="9.08203125" defaultRowHeight="14" x14ac:dyDescent="0.3"/>
  <cols>
    <col min="1" max="1" width="8.83203125" style="35" customWidth="1"/>
    <col min="2" max="2" width="18.08203125" style="35" customWidth="1"/>
    <col min="3" max="5" width="15.25" style="35" customWidth="1"/>
    <col min="6" max="6" width="26" style="35" customWidth="1"/>
    <col min="7" max="7" width="26.75" style="35" customWidth="1"/>
    <col min="8" max="16384" width="9.08203125" style="35"/>
  </cols>
  <sheetData>
    <row r="1" spans="1:7" ht="23" x14ac:dyDescent="0.45">
      <c r="A1" s="34" t="s">
        <v>34</v>
      </c>
      <c r="B1" s="253" t="str">
        <f>IF(หลักสูตร!A2="","",หลักสูตร!A2)</f>
        <v/>
      </c>
      <c r="C1" s="253"/>
      <c r="D1" s="253"/>
      <c r="E1" s="253"/>
      <c r="F1" s="253"/>
      <c r="G1" s="253"/>
    </row>
    <row r="2" spans="1:7" ht="28" x14ac:dyDescent="0.6">
      <c r="A2" s="36"/>
      <c r="B2" s="36"/>
      <c r="C2" s="36"/>
      <c r="D2" s="37" t="s">
        <v>52</v>
      </c>
      <c r="E2" s="38" t="str">
        <f>IF(หลักสูตร!C3=1,"ตรี",IF(หลักสูตร!C3=2,"โท",IF(หลักสูตร!C3=3,"เอก","")))</f>
        <v/>
      </c>
      <c r="F2" s="36"/>
      <c r="G2" s="36"/>
    </row>
    <row r="3" spans="1:7" ht="28.5" thickBot="1" x14ac:dyDescent="0.65">
      <c r="A3" s="254" t="s">
        <v>35</v>
      </c>
      <c r="B3" s="254"/>
      <c r="C3" s="254"/>
      <c r="D3" s="254"/>
      <c r="E3" s="254"/>
      <c r="F3" s="254"/>
      <c r="G3" s="254"/>
    </row>
    <row r="4" spans="1:7" ht="23" x14ac:dyDescent="0.3">
      <c r="A4" s="255" t="s">
        <v>36</v>
      </c>
      <c r="B4" s="258" t="s">
        <v>37</v>
      </c>
      <c r="C4" s="258" t="s">
        <v>38</v>
      </c>
      <c r="D4" s="258" t="s">
        <v>39</v>
      </c>
      <c r="E4" s="258" t="s">
        <v>40</v>
      </c>
      <c r="F4" s="261" t="s">
        <v>41</v>
      </c>
      <c r="G4" s="107" t="s">
        <v>42</v>
      </c>
    </row>
    <row r="5" spans="1:7" ht="15.5" x14ac:dyDescent="0.3">
      <c r="A5" s="256"/>
      <c r="B5" s="259"/>
      <c r="C5" s="259"/>
      <c r="D5" s="259"/>
      <c r="E5" s="259"/>
      <c r="F5" s="262"/>
      <c r="G5" s="108" t="s">
        <v>43</v>
      </c>
    </row>
    <row r="6" spans="1:7" ht="15.5" x14ac:dyDescent="0.3">
      <c r="A6" s="256"/>
      <c r="B6" s="259"/>
      <c r="C6" s="259"/>
      <c r="D6" s="259"/>
      <c r="E6" s="259"/>
      <c r="F6" s="262"/>
      <c r="G6" s="108" t="s">
        <v>44</v>
      </c>
    </row>
    <row r="7" spans="1:7" ht="15.5" x14ac:dyDescent="0.3">
      <c r="A7" s="256"/>
      <c r="B7" s="259"/>
      <c r="C7" s="259"/>
      <c r="D7" s="259"/>
      <c r="E7" s="259"/>
      <c r="F7" s="262"/>
      <c r="G7" s="108" t="s">
        <v>45</v>
      </c>
    </row>
    <row r="8" spans="1:7" ht="16" thickBot="1" x14ac:dyDescent="0.35">
      <c r="A8" s="257"/>
      <c r="B8" s="260"/>
      <c r="C8" s="260"/>
      <c r="D8" s="260"/>
      <c r="E8" s="260"/>
      <c r="F8" s="263"/>
      <c r="G8" s="109" t="s">
        <v>46</v>
      </c>
    </row>
    <row r="9" spans="1:7" ht="25" customHeight="1" thickTop="1" x14ac:dyDescent="0.3">
      <c r="A9" s="237">
        <v>1</v>
      </c>
      <c r="B9" s="239" t="str">
        <f>IF(หลักสูตร!B1=1,"ป.ตรี 3 บัณฑิต 11",IF(หลักสูตร!B1=2,"ป.ตรี 5 บัณฑิต 10",""))</f>
        <v/>
      </c>
      <c r="C9" s="241" t="str">
        <f>IF(หลักสูตร!K7="ไม่ผ่าน","ไม่ผ่านการประเมิน",IF(AND(หลักสูตร!B47="หลักสูตรเป็นไปตามกรอบมาตรฐานคุณวุฒิ",หลักสูตร!I44&gt;=80),"หลักสูตรเป็นไปตามกรอบมาตรฐานคุณวุฒิ",IF(หลักสูตร!B47="หลักสูตรเป็นไปตามเกณฑ์มาตรฐาน 2558",หลักสูตร!B47,"")))</f>
        <v/>
      </c>
      <c r="D9" s="242"/>
      <c r="E9" s="243"/>
      <c r="F9" s="247"/>
      <c r="G9" s="249" t="str">
        <f>IF(C9="ไม่ผ่านการประเมิน","หลักสูตรไม่ได้มาตรฐาน",IF(หลักสูตร!B47="","",หลักสูตร!B47))</f>
        <v/>
      </c>
    </row>
    <row r="10" spans="1:7" ht="25" customHeight="1" thickBot="1" x14ac:dyDescent="0.35">
      <c r="A10" s="238"/>
      <c r="B10" s="240"/>
      <c r="C10" s="244"/>
      <c r="D10" s="245"/>
      <c r="E10" s="246"/>
      <c r="F10" s="248"/>
      <c r="G10" s="250"/>
    </row>
    <row r="11" spans="1:7" ht="26" thickBot="1" x14ac:dyDescent="0.35">
      <c r="A11" s="39">
        <v>2</v>
      </c>
      <c r="B11" s="39">
        <v>2</v>
      </c>
      <c r="C11" s="40" t="s">
        <v>47</v>
      </c>
      <c r="D11" s="40" t="s">
        <v>47</v>
      </c>
      <c r="E11" s="41" t="str">
        <f>IF(COUNTIF(หลักสูตร!K11:K18,"")=8,"",IF(หลักสูตร!C3=1,IF(AND(หลักสูตร!K11="",หลักสูตร!K13=""),"ไม่มีผู้จบ",ROUND(AVERAGE(หลักสูตร!K11,หลักสูตร!K13),2)),IF(หลักสูตร!C3=2,IF(AND(หลักสูตร!K11="",หลักสูตร!K15=""),"ไม่มีผู้จบ",ROUND(AVERAGE(หลักสูตร!K11,หลักสูตร!K15),2)),IF(หลักสูตร!C3=3,IF(AND(หลักสูตร!K11="",หลักสูตร!K17=""),"ไม่มีผู้จบ",ROUND(AVERAGE(หลักสูตร!K11,หลักสูตร!K17),2)),""))))</f>
        <v/>
      </c>
      <c r="F11" s="41" t="str">
        <f>E11</f>
        <v/>
      </c>
      <c r="G11" s="100" t="str">
        <f>IF(AND(F17&lt;&gt;"",F11=""),"ไม่มีผู้สำเร็จการศึกษา",IF(AND(F11&gt;=4.01,F11&lt;=5),"ระดับคุณภาพดีมาก",IF(AND(F11&gt;=3.01,F11&lt;4.01),"ระดับคุณภาพดี",IF(AND(F11&gt;=2.01,F11&lt;3.01),"ระดับคุณภาพปานกลาง",IF(F11&lt;2.01,"ระดับคุณภาพน้อย","")))))</f>
        <v/>
      </c>
    </row>
    <row r="12" spans="1:7" ht="26" thickBot="1" x14ac:dyDescent="0.35">
      <c r="A12" s="42">
        <v>3</v>
      </c>
      <c r="B12" s="42">
        <v>3</v>
      </c>
      <c r="C12" s="43" t="str">
        <f>IF(AND(หลักสูตร!K19="",หลักสูตร!K20="",หลักสูตร!K21=""),"",AVERAGE(หลักสูตร!K19,หลักสูตร!K20,หลักสูตร!K21))</f>
        <v/>
      </c>
      <c r="D12" s="44" t="s">
        <v>47</v>
      </c>
      <c r="E12" s="44" t="s">
        <v>47</v>
      </c>
      <c r="F12" s="45" t="str">
        <f>IF(AND(หลักสูตร!K19="",หลักสูตร!K20="",หลักสูตร!K21=""),"",ROUND(AVERAGE(หลักสูตร!K19:K21),2))</f>
        <v/>
      </c>
      <c r="G12" s="101" t="str">
        <f>IF(AND(F12&gt;=4.01,F12&lt;=5),"ระดับคุณภาพดีมาก",IF(AND(F12&gt;=3.01,F12&lt;4.01),"ระดับคุณภาพดี",IF(AND(F12&gt;=2.01,F12&lt;3.01),"ระดับคุณภาพปานกลาง",IF(F12&lt;2.01,"ระดับคุณภาพน้อย",""))))</f>
        <v/>
      </c>
    </row>
    <row r="13" spans="1:7" ht="26" thickBot="1" x14ac:dyDescent="0.35">
      <c r="A13" s="46">
        <v>4</v>
      </c>
      <c r="B13" s="46">
        <v>3</v>
      </c>
      <c r="C13" s="47" t="str">
        <f>IF(COUNT(หลักสูตร!K22,หลักสูตร!K24,หลักสูตร!K28,หลักสูตร!K32,หลักสูตร!K38)=0,"",IF(หลักสูตร!C3=1,AVERAGE(หลักสูตร!K22,หลักสูตร!K24,หลักสูตร!K38),IF(หลักสูตร!C3=2,AVERAGE(หลักสูตร!K22,หลักสูตร!K28,หลักสูตร!K38),IF(หลักสูตร!C3=3,AVERAGE(หลักสูตร!K22,หลักสูตร!K32,หลักสูตร!K38),""))))</f>
        <v/>
      </c>
      <c r="D13" s="47" t="s">
        <v>47</v>
      </c>
      <c r="E13" s="47" t="s">
        <v>47</v>
      </c>
      <c r="F13" s="48" t="str">
        <f>IF(COUNT(หลักสูตร!K22,หลักสูตร!K24,หลักสูตร!K28,หลักสูตร!K32,หลักสูตร!K38)=0,"",ROUND(AVERAGE(หลักสูตร!K22,หลักสูตร!K24,หลักสูตร!K28,หลักสูตร!K32,หลักสูตร!K38),2))</f>
        <v/>
      </c>
      <c r="G13" s="102" t="str">
        <f>IF(AND(F13&gt;=4.01,F13&lt;=5),"ระดับคุณภาพดีมาก",IF(AND(F13&gt;=3.01,F13&lt;4.01),"ระดับคุณภาพดี",IF(AND(F13&gt;=2.01,F13&lt;3.01),"ระดับคุณภาพปานกลาง",IF(F13&lt;2.01,"ระดับคุณภาพน้อย",""))))</f>
        <v/>
      </c>
    </row>
    <row r="14" spans="1:7" ht="26" thickBot="1" x14ac:dyDescent="0.35">
      <c r="A14" s="49">
        <v>5</v>
      </c>
      <c r="B14" s="49">
        <v>4</v>
      </c>
      <c r="C14" s="50" t="str">
        <f>หลักสูตร!K39</f>
        <v/>
      </c>
      <c r="D14" s="51" t="str">
        <f>IF(AND(หลักสูตร!K40="",หลักสูตร!K41="",หลักสูตร!K42=""),"",AVERAGE(หลักสูตร!K40,หลักสูตร!K41,หลักสูตร!K42))</f>
        <v/>
      </c>
      <c r="E14" s="52" t="s">
        <v>47</v>
      </c>
      <c r="F14" s="53" t="str">
        <f>IF(COUNT(หลักสูตร!K39:K44)=0,"",ROUND(AVERAGE(หลักสูตร!K39:K44),2))</f>
        <v/>
      </c>
      <c r="G14" s="103" t="str">
        <f>IF(AND(F14&gt;=4.01,F14&lt;=5),"ระดับคุณภาพดีมาก",IF(AND(F14&gt;=3.01,F14&lt;4.01),"ระดับคุณภาพดี",IF(AND(F14&gt;=2.01,F14&lt;3.01),"ระดับคุณภาพปานกลาง",IF(F14&lt;2.01,"ระดับคุณภาพน้อย",""))))</f>
        <v/>
      </c>
    </row>
    <row r="15" spans="1:7" ht="26" thickBot="1" x14ac:dyDescent="0.35">
      <c r="A15" s="39">
        <v>6</v>
      </c>
      <c r="B15" s="39">
        <v>1</v>
      </c>
      <c r="C15" s="40" t="s">
        <v>47</v>
      </c>
      <c r="D15" s="54" t="str">
        <f>หลักสูตร!K45</f>
        <v/>
      </c>
      <c r="E15" s="40" t="s">
        <v>47</v>
      </c>
      <c r="F15" s="41" t="str">
        <f>หลักสูตร!K45</f>
        <v/>
      </c>
      <c r="G15" s="104" t="str">
        <f>IF(AND(F15&gt;=4.01,F15&lt;=5),"ระดับคุณภาพดีมาก",IF(AND(F15&gt;=3.01,F15&lt;4.01),"ระดับคุณภาพดี",IF(AND(F15&gt;=2.01,F15&lt;3.01),"ระดับคุณภาพปานกลาง",IF(F15&lt;2.01,"ระดับคุณภาพน้อย",""))))</f>
        <v/>
      </c>
    </row>
    <row r="16" spans="1:7" ht="26" thickBot="1" x14ac:dyDescent="0.35">
      <c r="A16" s="55" t="s">
        <v>48</v>
      </c>
      <c r="B16" s="55">
        <v>13</v>
      </c>
      <c r="C16" s="55">
        <v>7</v>
      </c>
      <c r="D16" s="55">
        <v>4</v>
      </c>
      <c r="E16" s="55">
        <v>2</v>
      </c>
      <c r="F16" s="56"/>
      <c r="G16" s="105"/>
    </row>
    <row r="17" spans="1:9" ht="26" thickBot="1" x14ac:dyDescent="0.35">
      <c r="A17" s="251" t="s">
        <v>49</v>
      </c>
      <c r="B17" s="252"/>
      <c r="C17" s="57" t="str">
        <f>IF(COUNT(หลักสูตร!K19:K22,หลักสูตร!K24,หลักสูตร!K28,หลักสูตร!K32,หลักสูตร!K38:K39)=0,"",ROUND(AVERAGE(หลักสูตร!K19:K22,หลักสูตร!K24,หลักสูตร!K28,หลักสูตร!K32,หลักสูตร!K38:K39),2))</f>
        <v/>
      </c>
      <c r="D17" s="57" t="str">
        <f>IF(COUNT(หลักสูตร!K40,หลักสูตร!K41,หลักสูตร!K42,หลักสูตร!K45)=0,"",ROUND(AVERAGE(หลักสูตร!K40,หลักสูตร!K41,หลักสูตร!K42,หลักสูตร!K45),2))</f>
        <v/>
      </c>
      <c r="E17" s="57" t="str">
        <f>E11</f>
        <v/>
      </c>
      <c r="F17" s="58" t="str">
        <f>IF(หลักสูตร!K46="","",ROUND(AVERAGE(หลักสูตร!K11:K22,หลักสูตร!K24,หลักสูตร!K28,หลักสูตร!K32:K45),2))</f>
        <v/>
      </c>
      <c r="G17" s="106" t="str">
        <f>IF(AND(F17&gt;=4.01,F17&lt;=5),"ระดับคุณภาพดีมาก",IF(AND(F17&gt;=3.01,F17&lt;4.01),"ระดับคุณภาพดี",IF(AND(F17&gt;=2.01,F17&lt;3.01),"ระดับคุณภาพปานกลาง",IF(F17&lt;2.01,"ระดับคุณภาพน้อย",""))))</f>
        <v/>
      </c>
      <c r="I17" s="59"/>
    </row>
    <row r="18" spans="1:9" ht="71.150000000000006" customHeight="1" thickBot="1" x14ac:dyDescent="0.35">
      <c r="A18" s="235" t="s">
        <v>42</v>
      </c>
      <c r="B18" s="236"/>
      <c r="C18" s="110" t="str">
        <f>IF(AND(C17&gt;=4.01,C17&lt;=5),"ระดับคุณภาพดีมาก",IF(AND(C17&gt;=3.01,C17&lt;4.01),"ระดับคุณภาพดี",IF(AND(C17&gt;=2.01,C17&lt;3.01),"ระดับคุณภาพปานกลาง",IF(C17&lt;2.01,"ระดับคุณภาพน้อย",""))))</f>
        <v/>
      </c>
      <c r="D18" s="110" t="str">
        <f>IF(AND(D17&gt;=4.01,D17&lt;=5),"ระดับคุณภาพดีมาก",IF(AND(D17&gt;=3.01,D17&lt;4.01),"ระดับคุณภาพดี",IF(AND(D17&gt;=2.01,D17&lt;3.01),"ระดับคุณภาพปานกลาง",IF(D17&lt;2.01,"ระดับคุณภาพน้อย",""))))</f>
        <v/>
      </c>
      <c r="E18" s="110" t="str">
        <f>IF(AND(F17&lt;&gt;"",F11=""),"ไม่มีผู้สำเร็จการศึกษา",IF(AND(E17&gt;=4.01,E17&lt;=5),"ระดับคุณภาพดีมาก",IF(AND(E17&gt;=3.01,E17&lt;4.01),"ระดับคุณภาพดี",IF(AND(E17&gt;=2.01,E17&lt;3.01),"ระดับคุณภาพปานกลาง",IF(E17&lt;2.01,"ระดับคุณภาพน้อย","")))))</f>
        <v/>
      </c>
      <c r="F18" s="60"/>
      <c r="G18" s="111"/>
    </row>
  </sheetData>
  <sheetProtection algorithmName="SHA-512" hashValue="smrtpluSBzgGTgvwcXA48//qjuVU/sbjKUq7DzaFfPmd585CXv9mZAdu/1sdoC/kDHS9qc36lM3NlLm2ewB1Ow==" saltValue="yGtt4iGwRaI6N9Vvlhe2yA==" spinCount="100000" sheet="1" objects="1" scenarios="1"/>
  <mergeCells count="15">
    <mergeCell ref="G9:G10"/>
    <mergeCell ref="A17:B17"/>
    <mergeCell ref="B1:G1"/>
    <mergeCell ref="A3:G3"/>
    <mergeCell ref="A4:A8"/>
    <mergeCell ref="B4:B8"/>
    <mergeCell ref="C4:C8"/>
    <mergeCell ref="D4:D8"/>
    <mergeCell ref="E4:E8"/>
    <mergeCell ref="F4:F8"/>
    <mergeCell ref="A18:B18"/>
    <mergeCell ref="A9:A10"/>
    <mergeCell ref="B9:B10"/>
    <mergeCell ref="C9:E10"/>
    <mergeCell ref="F9:F10"/>
  </mergeCells>
  <printOptions horizontalCentered="1"/>
  <pageMargins left="0.95" right="0.95" top="1.5" bottom="0.75" header="1" footer="0.55000000000000004"/>
  <pageSetup scale="68" fitToHeight="0" orientation="portrait" horizontalDpi="4294967295" verticalDpi="4294967295" r:id="rId1"/>
  <headerFooter>
    <oddHeader>&amp;Cพัฒนาโดย ดร.ประสิทธิ์ พงษ์เรืองพันธุ์ และรศ.ดร.เรณา พงษ์เรืองพันธุ์ มหาวิทยาลัยบูรพา&amp;RE-mail: prasitp_g@hotmail.com</oddHead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หลักสูตร</vt:lpstr>
      <vt:lpstr>ผลวิเคราะห์</vt:lpstr>
      <vt:lpstr>หลักสูตร!Print_Area</vt:lpstr>
      <vt:lpstr>หลักสูตร!Print_Titles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2019-04-16T04:27:52Z</cp:lastPrinted>
  <dcterms:created xsi:type="dcterms:W3CDTF">2015-11-04T03:38:43Z</dcterms:created>
  <dcterms:modified xsi:type="dcterms:W3CDTF">2021-05-08T06:59:03Z</dcterms:modified>
</cp:coreProperties>
</file>